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029"/>
  <workbookPr/>
  <mc:AlternateContent xmlns:mc="http://schemas.openxmlformats.org/markup-compatibility/2006">
    <mc:Choice Requires="x15">
      <x15ac:absPath xmlns:x15ac="http://schemas.microsoft.com/office/spreadsheetml/2010/11/ac" url="C:\Users\Robert\Documents\rgv\"/>
    </mc:Choice>
  </mc:AlternateContent>
  <xr:revisionPtr revIDLastSave="0" documentId="13_ncr:1_{ECB7E27E-7011-42AA-84FD-AF1F2FA6F454}" xr6:coauthVersionLast="28" xr6:coauthVersionMax="28" xr10:uidLastSave="{00000000-0000-0000-0000-000000000000}"/>
  <bookViews>
    <workbookView xWindow="0" yWindow="0" windowWidth="12495" windowHeight="11595" xr2:uid="{00000000-000D-0000-FFFF-FFFF00000000}"/>
  </bookViews>
  <sheets>
    <sheet name="Weekly" sheetId="5" r:id="rId1"/>
    <sheet name="Oct-15" sheetId="16" r:id="rId2"/>
    <sheet name="Nov-15" sheetId="19" r:id="rId3"/>
    <sheet name="Dec-15" sheetId="20" r:id="rId4"/>
    <sheet name="Jan-16" sheetId="21" r:id="rId5"/>
    <sheet name="Feb-16" sheetId="22" r:id="rId6"/>
    <sheet name="Mar-16" sheetId="23" r:id="rId7"/>
    <sheet name="Apr-16" sheetId="24" r:id="rId8"/>
    <sheet name="May-16" sheetId="25" r:id="rId9"/>
    <sheet name="Jun-16" sheetId="26" r:id="rId10"/>
    <sheet name="Jul-16" sheetId="27" r:id="rId11"/>
    <sheet name="Aug-16" sheetId="28" r:id="rId12"/>
    <sheet name="Sep-16" sheetId="29" r:id="rId13"/>
    <sheet name="Oct-16" sheetId="30" r:id="rId14"/>
    <sheet name="Nov-16" sheetId="31" r:id="rId15"/>
    <sheet name="Dec-16" sheetId="32" r:id="rId16"/>
    <sheet name="Jan-17" sheetId="33" r:id="rId17"/>
    <sheet name="Feb-17" sheetId="34" r:id="rId18"/>
    <sheet name="Mar-17" sheetId="35" r:id="rId19"/>
    <sheet name="Apr-17" sheetId="36" r:id="rId20"/>
    <sheet name="May-17" sheetId="37" r:id="rId21"/>
    <sheet name="Jun-17" sheetId="38" r:id="rId22"/>
    <sheet name="Jul-17" sheetId="39" r:id="rId23"/>
    <sheet name="Sep-15" sheetId="17" r:id="rId24"/>
    <sheet name="Aug-15" sheetId="18" r:id="rId25"/>
    <sheet name="Jul-15" sheetId="13" r:id="rId26"/>
    <sheet name="Jun-15" sheetId="14" r:id="rId27"/>
    <sheet name="May-15" sheetId="15" r:id="rId28"/>
    <sheet name="Apr-15" sheetId="11" r:id="rId29"/>
    <sheet name="Mar-15" sheetId="12" r:id="rId30"/>
    <sheet name="Feb-15" sheetId="9" r:id="rId31"/>
    <sheet name="Jan-15" sheetId="10" r:id="rId32"/>
    <sheet name="Dec-14" sheetId="1" r:id="rId33"/>
    <sheet name="Nov-14" sheetId="2" r:id="rId34"/>
    <sheet name="Oct-14" sheetId="3" r:id="rId35"/>
    <sheet name="Sep-14" sheetId="4" r:id="rId36"/>
    <sheet name="Monthly" sheetId="6" r:id="rId37"/>
    <sheet name="Logo" sheetId="7" state="hidden" r:id="rId38"/>
    <sheet name="Test Invoice" sheetId="8" r:id="rId39"/>
  </sheets>
  <externalReferences>
    <externalReference r:id="rId40"/>
  </externalReferenc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8" i="5" l="1"/>
  <c r="F508" i="5"/>
  <c r="G508" i="5" s="1"/>
  <c r="E509" i="5"/>
  <c r="F509" i="5"/>
  <c r="G509" i="5"/>
  <c r="K509" i="5"/>
  <c r="E510" i="5"/>
  <c r="F510" i="5"/>
  <c r="E511" i="5"/>
  <c r="F511" i="5"/>
  <c r="G511" i="5" s="1"/>
  <c r="K511" i="5"/>
  <c r="I511" i="5" l="1"/>
  <c r="J511" i="5" s="1"/>
  <c r="H510" i="5"/>
  <c r="I509" i="5"/>
  <c r="J509" i="5" s="1"/>
  <c r="H508" i="5"/>
  <c r="L511" i="5"/>
  <c r="H511" i="5"/>
  <c r="K510" i="5"/>
  <c r="I510" i="5"/>
  <c r="G510" i="5"/>
  <c r="H509" i="5"/>
  <c r="M508" i="5"/>
  <c r="M509" i="5" s="1"/>
  <c r="M510" i="5" s="1"/>
  <c r="M511" i="5" s="1"/>
  <c r="K508" i="5"/>
  <c r="I508" i="5"/>
  <c r="E507" i="5"/>
  <c r="F507" i="5"/>
  <c r="G507" i="5" s="1"/>
  <c r="L509" i="5" l="1"/>
  <c r="J508" i="5"/>
  <c r="L508" i="5"/>
  <c r="J510" i="5"/>
  <c r="L510" i="5"/>
  <c r="H507" i="5"/>
  <c r="M507" i="5"/>
  <c r="K507" i="5"/>
  <c r="I507" i="5"/>
  <c r="E506" i="5"/>
  <c r="F506" i="5"/>
  <c r="E504" i="5"/>
  <c r="F504" i="5"/>
  <c r="E505" i="5"/>
  <c r="F505" i="5"/>
  <c r="J507" i="5" l="1"/>
  <c r="L507" i="5"/>
  <c r="E503" i="5"/>
  <c r="F503" i="5"/>
  <c r="E501" i="5"/>
  <c r="F501" i="5"/>
  <c r="E502" i="5"/>
  <c r="F502" i="5"/>
  <c r="E500" i="5"/>
  <c r="F500" i="5"/>
  <c r="G505" i="5" l="1"/>
  <c r="K505" i="5"/>
  <c r="I504" i="5"/>
  <c r="K506" i="5"/>
  <c r="H504" i="5"/>
  <c r="G506" i="5"/>
  <c r="K504" i="5"/>
  <c r="H505" i="5"/>
  <c r="I506" i="5"/>
  <c r="H506" i="5"/>
  <c r="I505" i="5"/>
  <c r="G504" i="5"/>
  <c r="J506" i="5"/>
  <c r="L506" i="5"/>
  <c r="J504" i="5"/>
  <c r="L504" i="5"/>
  <c r="I502" i="5"/>
  <c r="J502" i="5" s="1"/>
  <c r="G502" i="5"/>
  <c r="G503" i="5"/>
  <c r="K502" i="5"/>
  <c r="K503" i="5"/>
  <c r="L502" i="5"/>
  <c r="K501" i="5"/>
  <c r="E499" i="5"/>
  <c r="F499" i="5"/>
  <c r="H501" i="5" s="1"/>
  <c r="J505" i="5" l="1"/>
  <c r="L505" i="5"/>
  <c r="I501" i="5"/>
  <c r="H502" i="5"/>
  <c r="I503" i="5"/>
  <c r="H503" i="5"/>
  <c r="G501" i="5"/>
  <c r="J503" i="5"/>
  <c r="L503" i="5"/>
  <c r="J501" i="5"/>
  <c r="L501" i="5"/>
  <c r="E498" i="5"/>
  <c r="F498" i="5"/>
  <c r="I499" i="5" s="1"/>
  <c r="G500" i="5" l="1"/>
  <c r="I500" i="5"/>
  <c r="H500" i="5"/>
  <c r="K500" i="5"/>
  <c r="H499" i="5"/>
  <c r="K499" i="5"/>
  <c r="G499" i="5"/>
  <c r="J499" i="5"/>
  <c r="L499" i="5"/>
  <c r="E497" i="5"/>
  <c r="F497" i="5"/>
  <c r="L500" i="5" l="1"/>
  <c r="J500" i="5"/>
  <c r="E496" i="5"/>
  <c r="F496" i="5"/>
  <c r="E495" i="5" l="1"/>
  <c r="F495" i="5"/>
  <c r="G498" i="5" l="1"/>
  <c r="E494" i="5"/>
  <c r="F494" i="5"/>
  <c r="G497" i="5" l="1"/>
  <c r="E493" i="5"/>
  <c r="F493" i="5"/>
  <c r="G496" i="5" s="1"/>
  <c r="E492" i="5" l="1"/>
  <c r="F492" i="5"/>
  <c r="G495" i="5" l="1"/>
  <c r="E491" i="5"/>
  <c r="F491" i="5"/>
  <c r="G494" i="5" l="1"/>
  <c r="E490" i="5"/>
  <c r="F490" i="5"/>
  <c r="E488" i="5"/>
  <c r="F488" i="5"/>
  <c r="E489" i="5"/>
  <c r="F489" i="5"/>
  <c r="G490" i="5" l="1"/>
  <c r="G493" i="5"/>
  <c r="G492" i="5"/>
  <c r="G491" i="5"/>
  <c r="E486" i="5"/>
  <c r="F486" i="5"/>
  <c r="E487" i="5"/>
  <c r="F487" i="5"/>
  <c r="H498" i="5" l="1"/>
  <c r="G489" i="5"/>
  <c r="E485" i="5"/>
  <c r="F485" i="5"/>
  <c r="H497" i="5" l="1"/>
  <c r="G488" i="5"/>
  <c r="I280" i="39"/>
  <c r="F265" i="39"/>
  <c r="G265" i="39" s="1"/>
  <c r="F256" i="39"/>
  <c r="G256" i="39" s="1"/>
  <c r="F243" i="39"/>
  <c r="G243" i="39" s="1"/>
  <c r="F232" i="39"/>
  <c r="G232" i="39" s="1"/>
  <c r="F225" i="39"/>
  <c r="G225" i="39" s="1"/>
  <c r="F212" i="39"/>
  <c r="G212" i="39" s="1"/>
  <c r="F204" i="39"/>
  <c r="G204" i="39" s="1"/>
  <c r="F196" i="39"/>
  <c r="G196" i="39" s="1"/>
  <c r="F184" i="39"/>
  <c r="G184" i="39" s="1"/>
  <c r="F169" i="39"/>
  <c r="G169" i="39" s="1"/>
  <c r="F163" i="39"/>
  <c r="G163" i="39" s="1"/>
  <c r="F155" i="39"/>
  <c r="G155" i="39" s="1"/>
  <c r="F145" i="39"/>
  <c r="G145" i="39" s="1"/>
  <c r="G135" i="39"/>
  <c r="F122" i="39"/>
  <c r="G122" i="39" s="1"/>
  <c r="F110" i="39"/>
  <c r="G110" i="39" s="1"/>
  <c r="F105" i="39"/>
  <c r="G105" i="39" s="1"/>
  <c r="F94" i="39"/>
  <c r="G94" i="39" s="1"/>
  <c r="F83" i="39"/>
  <c r="G83" i="39" s="1"/>
  <c r="G66" i="39"/>
  <c r="G54" i="39"/>
  <c r="F54" i="39"/>
  <c r="G44" i="39"/>
  <c r="F44" i="39"/>
  <c r="G33" i="39"/>
  <c r="F33" i="39"/>
  <c r="G24" i="39"/>
  <c r="F24" i="39"/>
  <c r="G10" i="39"/>
  <c r="F10" i="39"/>
  <c r="G9" i="39"/>
  <c r="H1" i="39"/>
  <c r="D1" i="39"/>
  <c r="C1" i="39"/>
  <c r="F293" i="38"/>
  <c r="G293" i="38" s="1"/>
  <c r="F283" i="38"/>
  <c r="G283" i="38" s="1"/>
  <c r="F270" i="38"/>
  <c r="G270" i="38" s="1"/>
  <c r="F259" i="38"/>
  <c r="G259" i="38" s="1"/>
  <c r="F250" i="38"/>
  <c r="G250" i="38" s="1"/>
  <c r="F241" i="38"/>
  <c r="G241" i="38" s="1"/>
  <c r="F224" i="38"/>
  <c r="G224" i="38" s="1"/>
  <c r="G212" i="38"/>
  <c r="G207" i="38"/>
  <c r="F207" i="38"/>
  <c r="G193" i="38"/>
  <c r="F193" i="38"/>
  <c r="F179" i="38"/>
  <c r="G179" i="38" s="1"/>
  <c r="F167" i="38"/>
  <c r="G167" i="38" s="1"/>
  <c r="F149" i="38"/>
  <c r="G149" i="38" s="1"/>
  <c r="F137" i="38"/>
  <c r="G137" i="38" s="1"/>
  <c r="F132" i="38"/>
  <c r="G132" i="38" s="1"/>
  <c r="F117" i="38"/>
  <c r="G117" i="38" s="1"/>
  <c r="F112" i="38"/>
  <c r="G112" i="38" s="1"/>
  <c r="G97" i="38"/>
  <c r="F82" i="38"/>
  <c r="G82" i="38" s="1"/>
  <c r="G73" i="38"/>
  <c r="F67" i="38"/>
  <c r="G67" i="38" s="1"/>
  <c r="F58" i="38"/>
  <c r="G58" i="38" s="1"/>
  <c r="F49" i="38"/>
  <c r="G49" i="38" s="1"/>
  <c r="F35" i="38"/>
  <c r="G35" i="38" s="1"/>
  <c r="F23" i="38"/>
  <c r="G23" i="38" s="1"/>
  <c r="F15" i="38"/>
  <c r="G15" i="38" s="1"/>
  <c r="H1" i="38"/>
  <c r="I227" i="38" s="1"/>
  <c r="D1" i="38"/>
  <c r="C1" i="38"/>
  <c r="J280" i="39"/>
  <c r="J227" i="38"/>
  <c r="G1" i="39" l="1"/>
  <c r="F1" i="38"/>
  <c r="K280" i="39"/>
  <c r="F1" i="39"/>
  <c r="G1" i="38"/>
  <c r="E484" i="5"/>
  <c r="F484" i="5"/>
  <c r="H496" i="5" l="1"/>
  <c r="G487" i="5"/>
  <c r="E482" i="5"/>
  <c r="F482" i="5"/>
  <c r="E483" i="5"/>
  <c r="F483" i="5"/>
  <c r="H495" i="5" l="1"/>
  <c r="G486" i="5"/>
  <c r="H494" i="5"/>
  <c r="G485" i="5"/>
  <c r="E481" i="5"/>
  <c r="F481" i="5"/>
  <c r="H493" i="5" s="1"/>
  <c r="G484" i="5" l="1"/>
  <c r="E480" i="5"/>
  <c r="F480" i="5"/>
  <c r="H492" i="5" s="1"/>
  <c r="G483" i="5" l="1"/>
  <c r="E479" i="5"/>
  <c r="F479" i="5"/>
  <c r="H491" i="5" l="1"/>
  <c r="G482" i="5"/>
  <c r="E478" i="5"/>
  <c r="F478" i="5"/>
  <c r="H490" i="5" l="1"/>
  <c r="G481" i="5"/>
  <c r="F264" i="37"/>
  <c r="G264" i="37" s="1"/>
  <c r="F255" i="37"/>
  <c r="G255" i="37" s="1"/>
  <c r="F249" i="37"/>
  <c r="G249" i="37" s="1"/>
  <c r="F240" i="37"/>
  <c r="G240" i="37" s="1"/>
  <c r="F227" i="37"/>
  <c r="G227" i="37" s="1"/>
  <c r="F220" i="37"/>
  <c r="G220" i="37" s="1"/>
  <c r="F211" i="37"/>
  <c r="G211" i="37" s="1"/>
  <c r="F198" i="37"/>
  <c r="G198" i="37" s="1"/>
  <c r="F192" i="37"/>
  <c r="G192" i="37" s="1"/>
  <c r="F180" i="37"/>
  <c r="G180" i="37" s="1"/>
  <c r="F169" i="37"/>
  <c r="G169" i="37" s="1"/>
  <c r="F161" i="37"/>
  <c r="G161" i="37" s="1"/>
  <c r="F151" i="37"/>
  <c r="G151" i="37" s="1"/>
  <c r="F135" i="37"/>
  <c r="G135" i="37" s="1"/>
  <c r="F122" i="37"/>
  <c r="G122" i="37" s="1"/>
  <c r="F109" i="37"/>
  <c r="G109" i="37" s="1"/>
  <c r="F95" i="37"/>
  <c r="G95" i="37" s="1"/>
  <c r="F83" i="37"/>
  <c r="G83" i="37" s="1"/>
  <c r="F69" i="37"/>
  <c r="G69" i="37" s="1"/>
  <c r="F59" i="37"/>
  <c r="G59" i="37" s="1"/>
  <c r="F47" i="37"/>
  <c r="G47" i="37" s="1"/>
  <c r="F34" i="37"/>
  <c r="G34" i="37" s="1"/>
  <c r="F25" i="37"/>
  <c r="G25" i="37" s="1"/>
  <c r="F15" i="37"/>
  <c r="G15" i="37" s="1"/>
  <c r="H1" i="37"/>
  <c r="I266" i="37" s="1"/>
  <c r="D1" i="37"/>
  <c r="C1" i="37"/>
  <c r="F273" i="36"/>
  <c r="G273" i="36" s="1"/>
  <c r="F262" i="36"/>
  <c r="G262" i="36" s="1"/>
  <c r="F254" i="36"/>
  <c r="G254" i="36" s="1"/>
  <c r="F249" i="36"/>
  <c r="G249" i="36" s="1"/>
  <c r="F236" i="36"/>
  <c r="G236" i="36" s="1"/>
  <c r="F218" i="36"/>
  <c r="G218" i="36" s="1"/>
  <c r="F208" i="36"/>
  <c r="G208" i="36" s="1"/>
  <c r="F200" i="36"/>
  <c r="G200" i="36" s="1"/>
  <c r="F194" i="36"/>
  <c r="G194" i="36" s="1"/>
  <c r="F187" i="36"/>
  <c r="G187" i="36" s="1"/>
  <c r="F177" i="36"/>
  <c r="G177" i="36" s="1"/>
  <c r="F168" i="36"/>
  <c r="G168" i="36" s="1"/>
  <c r="F160" i="36"/>
  <c r="G160" i="36" s="1"/>
  <c r="F141" i="36"/>
  <c r="G141" i="36" s="1"/>
  <c r="F128" i="36"/>
  <c r="G128" i="36" s="1"/>
  <c r="G115" i="36"/>
  <c r="F100" i="36"/>
  <c r="G100" i="36" s="1"/>
  <c r="F92" i="36"/>
  <c r="G92" i="36" s="1"/>
  <c r="F79" i="36"/>
  <c r="G79" i="36" s="1"/>
  <c r="F66" i="36"/>
  <c r="G66" i="36" s="1"/>
  <c r="F57" i="36"/>
  <c r="G57" i="36" s="1"/>
  <c r="G34" i="36"/>
  <c r="H1" i="36"/>
  <c r="D1" i="36"/>
  <c r="C1" i="36"/>
  <c r="F321" i="35"/>
  <c r="G321" i="35" s="1"/>
  <c r="F304" i="35"/>
  <c r="G304" i="35" s="1"/>
  <c r="F299" i="35"/>
  <c r="G299" i="35" s="1"/>
  <c r="F286" i="35"/>
  <c r="G286" i="35" s="1"/>
  <c r="F278" i="35"/>
  <c r="G278" i="35" s="1"/>
  <c r="F265" i="35"/>
  <c r="G265" i="35" s="1"/>
  <c r="F247" i="35"/>
  <c r="G247" i="35" s="1"/>
  <c r="F238" i="35"/>
  <c r="G238" i="35" s="1"/>
  <c r="F230" i="35"/>
  <c r="G230" i="35" s="1"/>
  <c r="F220" i="35"/>
  <c r="G220" i="35" s="1"/>
  <c r="F209" i="35"/>
  <c r="G209" i="35" s="1"/>
  <c r="F188" i="35"/>
  <c r="G188" i="35" s="1"/>
  <c r="F172" i="35"/>
  <c r="G172" i="35" s="1"/>
  <c r="F163" i="35"/>
  <c r="G163" i="35" s="1"/>
  <c r="I160" i="35"/>
  <c r="G148" i="35"/>
  <c r="F148" i="35"/>
  <c r="G133" i="35"/>
  <c r="F133" i="35"/>
  <c r="G123" i="35"/>
  <c r="F123" i="35"/>
  <c r="G111" i="35"/>
  <c r="F111" i="35"/>
  <c r="G101" i="35"/>
  <c r="F101" i="35"/>
  <c r="G84" i="35"/>
  <c r="F84" i="35"/>
  <c r="G74" i="35"/>
  <c r="F74" i="35"/>
  <c r="F60" i="35"/>
  <c r="F50" i="35"/>
  <c r="G50" i="35" s="1"/>
  <c r="G49" i="35"/>
  <c r="F38" i="35"/>
  <c r="G38" i="35" s="1"/>
  <c r="F31" i="35"/>
  <c r="G31" i="35" s="1"/>
  <c r="F23" i="35"/>
  <c r="G23" i="35" s="1"/>
  <c r="F13" i="35"/>
  <c r="G13" i="35" s="1"/>
  <c r="H1" i="35"/>
  <c r="F1" i="35"/>
  <c r="D1" i="35"/>
  <c r="C1" i="35"/>
  <c r="G1" i="37" l="1"/>
  <c r="I267" i="37"/>
  <c r="F1" i="37"/>
  <c r="G1" i="36"/>
  <c r="F1" i="36"/>
  <c r="G1" i="35"/>
  <c r="E477" i="5"/>
  <c r="F477" i="5"/>
  <c r="J266" i="37"/>
  <c r="H489" i="5" l="1"/>
  <c r="G480" i="5"/>
  <c r="K272" i="37"/>
  <c r="I268" i="37"/>
  <c r="E476" i="5"/>
  <c r="F476" i="5"/>
  <c r="J267" i="37"/>
  <c r="H488" i="5" l="1"/>
  <c r="G479" i="5"/>
  <c r="I269" i="37"/>
  <c r="E475" i="5"/>
  <c r="F475" i="5"/>
  <c r="J268" i="37"/>
  <c r="H487" i="5" l="1"/>
  <c r="G478" i="5"/>
  <c r="I270" i="37"/>
  <c r="E474" i="5"/>
  <c r="F474" i="5"/>
  <c r="J269" i="37"/>
  <c r="H486" i="5" l="1"/>
  <c r="G477" i="5"/>
  <c r="I271" i="37"/>
  <c r="E473" i="5"/>
  <c r="F473" i="5"/>
  <c r="J270" i="37"/>
  <c r="H485" i="5" l="1"/>
  <c r="G476" i="5"/>
  <c r="I272" i="37"/>
  <c r="E472" i="5"/>
  <c r="F472" i="5"/>
  <c r="J271" i="37"/>
  <c r="H484" i="5" l="1"/>
  <c r="G475" i="5"/>
  <c r="I273" i="37"/>
  <c r="E471" i="5"/>
  <c r="F471" i="5"/>
  <c r="J272" i="37"/>
  <c r="H483" i="5" l="1"/>
  <c r="G474" i="5"/>
  <c r="I274" i="37"/>
  <c r="E470" i="5"/>
  <c r="F470" i="5"/>
  <c r="J273" i="37"/>
  <c r="H482" i="5" l="1"/>
  <c r="G473" i="5"/>
  <c r="K279" i="37"/>
  <c r="I275" i="37"/>
  <c r="E469" i="5"/>
  <c r="F469" i="5"/>
  <c r="J274" i="37"/>
  <c r="H481" i="5" l="1"/>
  <c r="G472" i="5"/>
  <c r="I276" i="37"/>
  <c r="E468" i="5"/>
  <c r="F468" i="5"/>
  <c r="J275" i="37"/>
  <c r="H480" i="5" l="1"/>
  <c r="G471" i="5"/>
  <c r="I277" i="37"/>
  <c r="E467" i="5"/>
  <c r="F467" i="5"/>
  <c r="F236" i="34"/>
  <c r="G236" i="34" s="1"/>
  <c r="F229" i="34"/>
  <c r="G229" i="34" s="1"/>
  <c r="G213" i="34"/>
  <c r="F205" i="34"/>
  <c r="G205" i="34" s="1"/>
  <c r="F195" i="34"/>
  <c r="G195" i="34" s="1"/>
  <c r="F182" i="34"/>
  <c r="G182" i="34" s="1"/>
  <c r="F177" i="34"/>
  <c r="G177" i="34" s="1"/>
  <c r="F164" i="34"/>
  <c r="F150" i="34"/>
  <c r="G138" i="34"/>
  <c r="F138" i="34"/>
  <c r="F123" i="34"/>
  <c r="F107" i="34"/>
  <c r="F95" i="34"/>
  <c r="F85" i="34"/>
  <c r="G74" i="34"/>
  <c r="G69" i="34"/>
  <c r="F60" i="34"/>
  <c r="G60" i="34" s="1"/>
  <c r="G52" i="34"/>
  <c r="F45" i="34"/>
  <c r="G45" i="34" s="1"/>
  <c r="F35" i="34"/>
  <c r="G35" i="34" s="1"/>
  <c r="F28" i="34"/>
  <c r="G28" i="34" s="1"/>
  <c r="F22" i="34"/>
  <c r="G22" i="34" s="1"/>
  <c r="F17" i="34"/>
  <c r="G17" i="34" s="1"/>
  <c r="F10" i="34"/>
  <c r="G10" i="34" s="1"/>
  <c r="H1" i="34"/>
  <c r="D1" i="34"/>
  <c r="C1" i="34"/>
  <c r="F249" i="33"/>
  <c r="G249" i="33" s="1"/>
  <c r="F240" i="33"/>
  <c r="G240" i="33" s="1"/>
  <c r="G226" i="33"/>
  <c r="G217" i="33"/>
  <c r="F207" i="33"/>
  <c r="G207" i="33" s="1"/>
  <c r="F197" i="33"/>
  <c r="G197" i="33" s="1"/>
  <c r="G186" i="33"/>
  <c r="F176" i="33"/>
  <c r="G176" i="33" s="1"/>
  <c r="F157" i="33"/>
  <c r="G157" i="33" s="1"/>
  <c r="F141" i="33"/>
  <c r="G141" i="33" s="1"/>
  <c r="G132" i="33"/>
  <c r="F132" i="33"/>
  <c r="G129" i="33"/>
  <c r="G124" i="33"/>
  <c r="F124" i="33"/>
  <c r="G105" i="33"/>
  <c r="F99" i="33"/>
  <c r="G93" i="33"/>
  <c r="F93" i="33"/>
  <c r="F80" i="33"/>
  <c r="G80" i="33" s="1"/>
  <c r="G70" i="33"/>
  <c r="F70" i="33"/>
  <c r="F62" i="33"/>
  <c r="G55" i="33"/>
  <c r="F55" i="33"/>
  <c r="G43" i="33"/>
  <c r="F43" i="33"/>
  <c r="F35" i="33"/>
  <c r="F22" i="33"/>
  <c r="G18" i="33"/>
  <c r="F18" i="33"/>
  <c r="H1" i="33"/>
  <c r="I251" i="33" s="1"/>
  <c r="F1" i="33"/>
  <c r="D1" i="33"/>
  <c r="C1" i="33"/>
  <c r="F222" i="32"/>
  <c r="G222" i="32" s="1"/>
  <c r="G217" i="32"/>
  <c r="G210" i="32"/>
  <c r="F210" i="32"/>
  <c r="G198" i="32"/>
  <c r="F198" i="32"/>
  <c r="F187" i="32"/>
  <c r="G179" i="32"/>
  <c r="F179" i="32"/>
  <c r="G167" i="32"/>
  <c r="F167" i="32"/>
  <c r="F158" i="32"/>
  <c r="G151" i="32"/>
  <c r="F151" i="32"/>
  <c r="G143" i="32"/>
  <c r="F143" i="32"/>
  <c r="F133" i="32"/>
  <c r="G126" i="32"/>
  <c r="F126" i="32"/>
  <c r="F115" i="32"/>
  <c r="F106" i="32"/>
  <c r="F98" i="32"/>
  <c r="G90" i="32"/>
  <c r="F90" i="32"/>
  <c r="G80" i="32"/>
  <c r="F80" i="32"/>
  <c r="F73" i="32"/>
  <c r="F66" i="32"/>
  <c r="G66" i="32" s="1"/>
  <c r="F63" i="32"/>
  <c r="G63" i="32" s="1"/>
  <c r="F54" i="32"/>
  <c r="G54" i="32" s="1"/>
  <c r="F45" i="32"/>
  <c r="G45" i="32" s="1"/>
  <c r="F39" i="32"/>
  <c r="G39" i="32" s="1"/>
  <c r="F29" i="32"/>
  <c r="G29" i="32" s="1"/>
  <c r="F21" i="32"/>
  <c r="G21" i="32" s="1"/>
  <c r="G1" i="32" s="1"/>
  <c r="G13" i="32"/>
  <c r="F13" i="32"/>
  <c r="H1" i="32"/>
  <c r="I224" i="32" s="1"/>
  <c r="F1" i="32"/>
  <c r="D1" i="32"/>
  <c r="C1" i="32"/>
  <c r="G239" i="31"/>
  <c r="F239" i="31"/>
  <c r="G210" i="31"/>
  <c r="F210" i="31"/>
  <c r="F203" i="31"/>
  <c r="G191" i="31"/>
  <c r="F191" i="31"/>
  <c r="G178" i="31"/>
  <c r="F178" i="31"/>
  <c r="F167" i="31"/>
  <c r="G158" i="31"/>
  <c r="F158" i="31"/>
  <c r="F148" i="31"/>
  <c r="F137" i="31"/>
  <c r="F129" i="31"/>
  <c r="G129" i="31" s="1"/>
  <c r="F122" i="31"/>
  <c r="G122" i="31" s="1"/>
  <c r="F109" i="31"/>
  <c r="G109" i="31" s="1"/>
  <c r="F104" i="31"/>
  <c r="G104" i="31" s="1"/>
  <c r="F95" i="31"/>
  <c r="G95" i="31" s="1"/>
  <c r="G85" i="31"/>
  <c r="F83" i="31"/>
  <c r="G83" i="31" s="1"/>
  <c r="F76" i="31"/>
  <c r="G76" i="31" s="1"/>
  <c r="F66" i="31"/>
  <c r="G66" i="31" s="1"/>
  <c r="F57" i="31"/>
  <c r="G57" i="31" s="1"/>
  <c r="F44" i="31"/>
  <c r="G44" i="31" s="1"/>
  <c r="F33" i="31"/>
  <c r="G33" i="31" s="1"/>
  <c r="G20" i="31"/>
  <c r="F11" i="31"/>
  <c r="G11" i="31" s="1"/>
  <c r="H1" i="31"/>
  <c r="I241" i="31" s="1"/>
  <c r="D1" i="31"/>
  <c r="C1" i="31"/>
  <c r="F269" i="30"/>
  <c r="G269" i="30" s="1"/>
  <c r="G263" i="30"/>
  <c r="F263" i="30"/>
  <c r="F250" i="30"/>
  <c r="F243" i="30"/>
  <c r="F233" i="30"/>
  <c r="G221" i="30"/>
  <c r="F221" i="30"/>
  <c r="G210" i="30"/>
  <c r="F210" i="30"/>
  <c r="G205" i="30"/>
  <c r="F205" i="30"/>
  <c r="G192" i="30"/>
  <c r="F192" i="30"/>
  <c r="G173" i="30"/>
  <c r="F173" i="30"/>
  <c r="F161" i="30"/>
  <c r="F151" i="30"/>
  <c r="G142" i="30"/>
  <c r="F142" i="30"/>
  <c r="F128" i="30"/>
  <c r="G111" i="30"/>
  <c r="F111" i="30"/>
  <c r="G104" i="30"/>
  <c r="F104" i="30"/>
  <c r="G99" i="30"/>
  <c r="F99" i="30"/>
  <c r="F93" i="30"/>
  <c r="G83" i="30"/>
  <c r="F83" i="30"/>
  <c r="G71" i="30"/>
  <c r="F71" i="30"/>
  <c r="G57" i="30"/>
  <c r="F57" i="30"/>
  <c r="F46" i="30"/>
  <c r="G36" i="30"/>
  <c r="F36" i="30"/>
  <c r="F1" i="30" s="1"/>
  <c r="F26" i="30"/>
  <c r="G20" i="30"/>
  <c r="F20" i="30"/>
  <c r="G11" i="30"/>
  <c r="F11" i="30"/>
  <c r="H1" i="30"/>
  <c r="D1" i="30"/>
  <c r="C1" i="30"/>
  <c r="G259" i="29"/>
  <c r="F259" i="29"/>
  <c r="G247" i="29"/>
  <c r="F247" i="29"/>
  <c r="F234" i="29"/>
  <c r="G226" i="29"/>
  <c r="F226" i="29"/>
  <c r="F216" i="29"/>
  <c r="F209" i="29"/>
  <c r="F208" i="29"/>
  <c r="F197" i="29"/>
  <c r="F191" i="29"/>
  <c r="G183" i="29"/>
  <c r="F183" i="29"/>
  <c r="G176" i="29"/>
  <c r="F176" i="29"/>
  <c r="F167" i="29"/>
  <c r="F158" i="29"/>
  <c r="G150" i="29"/>
  <c r="F150" i="29"/>
  <c r="F140" i="29"/>
  <c r="G131" i="29"/>
  <c r="F131" i="29"/>
  <c r="F123" i="29"/>
  <c r="F113" i="29"/>
  <c r="G99" i="29"/>
  <c r="G98" i="29"/>
  <c r="F98" i="29"/>
  <c r="G82" i="29"/>
  <c r="F82" i="29"/>
  <c r="F68" i="29"/>
  <c r="F60" i="29"/>
  <c r="G60" i="29" s="1"/>
  <c r="F53" i="29"/>
  <c r="G53" i="29" s="1"/>
  <c r="F44" i="29"/>
  <c r="G44" i="29" s="1"/>
  <c r="F34" i="29"/>
  <c r="G34" i="29" s="1"/>
  <c r="F20" i="29"/>
  <c r="G20" i="29" s="1"/>
  <c r="F11" i="29"/>
  <c r="H1" i="29"/>
  <c r="I261" i="29" s="1"/>
  <c r="F1" i="29"/>
  <c r="D1" i="29"/>
  <c r="C1" i="29"/>
  <c r="G268" i="28"/>
  <c r="F268" i="28"/>
  <c r="F259" i="28"/>
  <c r="F254" i="28"/>
  <c r="F242" i="28"/>
  <c r="F230" i="28"/>
  <c r="F217" i="28"/>
  <c r="G204" i="28"/>
  <c r="F204" i="28"/>
  <c r="G191" i="28"/>
  <c r="F191" i="28"/>
  <c r="F183" i="28"/>
  <c r="G175" i="28"/>
  <c r="F175" i="28"/>
  <c r="G163" i="28"/>
  <c r="F163" i="28"/>
  <c r="G153" i="28"/>
  <c r="F153" i="28"/>
  <c r="G140" i="28"/>
  <c r="G132" i="28"/>
  <c r="F132" i="28"/>
  <c r="F124" i="28"/>
  <c r="G113" i="28"/>
  <c r="F113" i="28"/>
  <c r="G103" i="28"/>
  <c r="F103" i="28"/>
  <c r="G94" i="28"/>
  <c r="F73" i="28"/>
  <c r="F62" i="28"/>
  <c r="F52" i="28"/>
  <c r="F37" i="28"/>
  <c r="G26" i="28"/>
  <c r="F26" i="28"/>
  <c r="G21" i="28"/>
  <c r="F21" i="28"/>
  <c r="F12" i="28"/>
  <c r="F1" i="28" s="1"/>
  <c r="H1" i="28"/>
  <c r="I270" i="28" s="1"/>
  <c r="G1" i="28"/>
  <c r="D1" i="28"/>
  <c r="C1" i="28"/>
  <c r="G258" i="27"/>
  <c r="F258" i="27"/>
  <c r="G246" i="27"/>
  <c r="F246" i="27"/>
  <c r="F232" i="27"/>
  <c r="G220" i="27"/>
  <c r="F220" i="27"/>
  <c r="G210" i="27"/>
  <c r="F210" i="27"/>
  <c r="G197" i="27"/>
  <c r="F197" i="27"/>
  <c r="G186" i="27"/>
  <c r="F186" i="27"/>
  <c r="G180" i="27"/>
  <c r="F180" i="27"/>
  <c r="G174" i="27"/>
  <c r="F174" i="27"/>
  <c r="G166" i="27"/>
  <c r="F166" i="27"/>
  <c r="G158" i="27"/>
  <c r="F158" i="27"/>
  <c r="G150" i="27"/>
  <c r="F150" i="27"/>
  <c r="F134" i="27"/>
  <c r="F120" i="27"/>
  <c r="G110" i="27"/>
  <c r="F110" i="27"/>
  <c r="F98" i="27"/>
  <c r="F83" i="27"/>
  <c r="G75" i="27"/>
  <c r="F75" i="27"/>
  <c r="F62" i="27"/>
  <c r="G62" i="27" s="1"/>
  <c r="G55" i="27"/>
  <c r="F55" i="27"/>
  <c r="G41" i="27"/>
  <c r="F41" i="27"/>
  <c r="G34" i="27"/>
  <c r="F34" i="27"/>
  <c r="F1" i="27" s="1"/>
  <c r="G25" i="27"/>
  <c r="G22" i="27"/>
  <c r="F22" i="27"/>
  <c r="G14" i="27"/>
  <c r="G1" i="27" s="1"/>
  <c r="F14" i="27"/>
  <c r="H1" i="27"/>
  <c r="I260" i="27" s="1"/>
  <c r="D1" i="27"/>
  <c r="C1" i="27"/>
  <c r="G252" i="26"/>
  <c r="F252" i="26"/>
  <c r="F240" i="26"/>
  <c r="F228" i="26"/>
  <c r="F219" i="26"/>
  <c r="G209" i="26"/>
  <c r="F209" i="26"/>
  <c r="G196" i="26"/>
  <c r="F196" i="26"/>
  <c r="G177" i="26"/>
  <c r="F177" i="26"/>
  <c r="G169" i="26"/>
  <c r="F169" i="26"/>
  <c r="F166" i="26"/>
  <c r="F153" i="26"/>
  <c r="G143" i="26"/>
  <c r="F143" i="26"/>
  <c r="F130" i="26"/>
  <c r="F117" i="26"/>
  <c r="G110" i="26"/>
  <c r="F110" i="26"/>
  <c r="F93" i="26"/>
  <c r="G87" i="26"/>
  <c r="F81" i="26"/>
  <c r="G69" i="26"/>
  <c r="F69" i="26"/>
  <c r="G62" i="26"/>
  <c r="F62" i="26"/>
  <c r="G51" i="26"/>
  <c r="G1" i="26" s="1"/>
  <c r="F51" i="26"/>
  <c r="F45" i="26"/>
  <c r="F39" i="26"/>
  <c r="F29" i="26"/>
  <c r="F8" i="26"/>
  <c r="H1" i="26"/>
  <c r="I253" i="26" s="1"/>
  <c r="D1" i="26"/>
  <c r="C1" i="26"/>
  <c r="F255" i="25"/>
  <c r="F251" i="25"/>
  <c r="F241" i="25"/>
  <c r="F225" i="25"/>
  <c r="F208" i="25"/>
  <c r="F203" i="25"/>
  <c r="F190" i="25"/>
  <c r="F182" i="25"/>
  <c r="G176" i="25"/>
  <c r="G167" i="25"/>
  <c r="F167" i="25"/>
  <c r="F153" i="25"/>
  <c r="F142" i="25"/>
  <c r="F126" i="25"/>
  <c r="F121" i="25"/>
  <c r="F113" i="25"/>
  <c r="F104" i="25"/>
  <c r="F95" i="25"/>
  <c r="F88" i="25"/>
  <c r="F84" i="25"/>
  <c r="F64" i="25"/>
  <c r="F52" i="25"/>
  <c r="F44" i="25"/>
  <c r="F35" i="25"/>
  <c r="F22" i="25"/>
  <c r="F13" i="25"/>
  <c r="H1" i="25"/>
  <c r="I236" i="25" s="1"/>
  <c r="G1" i="25"/>
  <c r="D1" i="25"/>
  <c r="C1" i="25"/>
  <c r="F309" i="24"/>
  <c r="F298" i="24"/>
  <c r="F291" i="24"/>
  <c r="F278" i="24"/>
  <c r="F267" i="24"/>
  <c r="G267" i="24" s="1"/>
  <c r="F263" i="24"/>
  <c r="G263" i="24" s="1"/>
  <c r="F255" i="24"/>
  <c r="G255" i="24" s="1"/>
  <c r="F246" i="24"/>
  <c r="G246" i="24" s="1"/>
  <c r="F234" i="24"/>
  <c r="G234" i="24" s="1"/>
  <c r="G219" i="24"/>
  <c r="F211" i="24"/>
  <c r="G211" i="24" s="1"/>
  <c r="F207" i="24"/>
  <c r="G207" i="24" s="1"/>
  <c r="F199" i="24"/>
  <c r="G199" i="24" s="1"/>
  <c r="F191" i="24"/>
  <c r="G191" i="24" s="1"/>
  <c r="F183" i="24"/>
  <c r="G183" i="24" s="1"/>
  <c r="F169" i="24"/>
  <c r="G169" i="24" s="1"/>
  <c r="F155" i="24"/>
  <c r="G155" i="24" s="1"/>
  <c r="F140" i="24"/>
  <c r="G140" i="24" s="1"/>
  <c r="F120" i="24"/>
  <c r="F105" i="24"/>
  <c r="F94" i="24"/>
  <c r="F78" i="24"/>
  <c r="F61" i="24"/>
  <c r="F48" i="24"/>
  <c r="F36" i="24"/>
  <c r="F26" i="24"/>
  <c r="G16" i="24"/>
  <c r="F16" i="24"/>
  <c r="H1" i="24"/>
  <c r="F1" i="24"/>
  <c r="D1" i="24"/>
  <c r="C1" i="24"/>
  <c r="F347" i="23"/>
  <c r="F336" i="23"/>
  <c r="F324" i="23"/>
  <c r="F310" i="23"/>
  <c r="G299" i="23"/>
  <c r="F299" i="23"/>
  <c r="F286" i="23"/>
  <c r="F266" i="23"/>
  <c r="F255" i="23"/>
  <c r="F240" i="23"/>
  <c r="F230" i="23"/>
  <c r="F215" i="23"/>
  <c r="F210" i="23"/>
  <c r="F200" i="23"/>
  <c r="F193" i="23"/>
  <c r="F174" i="23"/>
  <c r="F158" i="23"/>
  <c r="F144" i="23"/>
  <c r="F133" i="23"/>
  <c r="G133" i="23" s="1"/>
  <c r="F120" i="23"/>
  <c r="G120" i="23" s="1"/>
  <c r="F111" i="23"/>
  <c r="G111" i="23" s="1"/>
  <c r="F105" i="23"/>
  <c r="F95" i="23"/>
  <c r="G85" i="23"/>
  <c r="F80" i="23"/>
  <c r="F70" i="23"/>
  <c r="G50" i="23"/>
  <c r="F50" i="23"/>
  <c r="F34" i="23"/>
  <c r="F18" i="23"/>
  <c r="H1" i="23"/>
  <c r="I349" i="23" s="1"/>
  <c r="F1" i="23"/>
  <c r="D1" i="23"/>
  <c r="C1" i="23"/>
  <c r="F354" i="22"/>
  <c r="F337" i="22"/>
  <c r="F321" i="22"/>
  <c r="F304" i="22"/>
  <c r="F290" i="22"/>
  <c r="F274" i="22"/>
  <c r="F259" i="22"/>
  <c r="G247" i="22"/>
  <c r="F247" i="22"/>
  <c r="F230" i="22"/>
  <c r="F210" i="22"/>
  <c r="F200" i="22"/>
  <c r="F181" i="22"/>
  <c r="F173" i="22"/>
  <c r="F163" i="22"/>
  <c r="G137" i="22"/>
  <c r="F137" i="22"/>
  <c r="F119" i="22"/>
  <c r="G109" i="22"/>
  <c r="F109" i="22"/>
  <c r="G99" i="22"/>
  <c r="F99" i="22"/>
  <c r="F87" i="22"/>
  <c r="F76" i="22"/>
  <c r="G60" i="22"/>
  <c r="G34" i="22"/>
  <c r="F34" i="22"/>
  <c r="F22" i="22"/>
  <c r="G14" i="22"/>
  <c r="F14" i="22"/>
  <c r="F1" i="22" s="1"/>
  <c r="H1" i="22"/>
  <c r="I356" i="22" s="1"/>
  <c r="G1" i="22"/>
  <c r="D1" i="22"/>
  <c r="C1" i="22"/>
  <c r="G232" i="21"/>
  <c r="F232" i="21"/>
  <c r="G216" i="21"/>
  <c r="F216" i="21"/>
  <c r="G202" i="21"/>
  <c r="F202" i="21"/>
  <c r="F188" i="21"/>
  <c r="G175" i="21"/>
  <c r="F175" i="21"/>
  <c r="F163" i="21"/>
  <c r="F151" i="21"/>
  <c r="G141" i="21"/>
  <c r="F141" i="21"/>
  <c r="G129" i="21"/>
  <c r="F129" i="21"/>
  <c r="F120" i="21"/>
  <c r="G111" i="21"/>
  <c r="F111" i="21"/>
  <c r="F95" i="21"/>
  <c r="G89" i="21"/>
  <c r="F89" i="21"/>
  <c r="F81" i="21"/>
  <c r="F73" i="21"/>
  <c r="G66" i="21"/>
  <c r="F60" i="21"/>
  <c r="F57" i="21"/>
  <c r="G51" i="21"/>
  <c r="F51" i="21"/>
  <c r="G43" i="21"/>
  <c r="F43" i="21"/>
  <c r="F35" i="21"/>
  <c r="F23" i="21"/>
  <c r="F17" i="21"/>
  <c r="F5" i="21"/>
  <c r="F1" i="21" s="1"/>
  <c r="H1" i="21"/>
  <c r="I234" i="21" s="1"/>
  <c r="G1" i="21"/>
  <c r="D1" i="21"/>
  <c r="C1" i="21"/>
  <c r="G239" i="20"/>
  <c r="F236" i="20"/>
  <c r="G230" i="20"/>
  <c r="F230" i="20"/>
  <c r="F216" i="20"/>
  <c r="G202" i="20"/>
  <c r="F202" i="20"/>
  <c r="F192" i="20"/>
  <c r="G191" i="20"/>
  <c r="F191" i="20"/>
  <c r="F178" i="20"/>
  <c r="G165" i="20"/>
  <c r="G1" i="20" s="1"/>
  <c r="G161" i="20"/>
  <c r="F161" i="20"/>
  <c r="G152" i="20"/>
  <c r="F152" i="20"/>
  <c r="G139" i="20"/>
  <c r="F139" i="20"/>
  <c r="F125" i="20"/>
  <c r="F119" i="20"/>
  <c r="G106" i="20"/>
  <c r="F106" i="20"/>
  <c r="F98" i="20"/>
  <c r="F90" i="20"/>
  <c r="F81" i="20"/>
  <c r="F68" i="20"/>
  <c r="F63" i="20"/>
  <c r="F54" i="20"/>
  <c r="F50" i="20"/>
  <c r="F39" i="20"/>
  <c r="F24" i="20"/>
  <c r="F13" i="20"/>
  <c r="F1" i="20" s="1"/>
  <c r="F8" i="20"/>
  <c r="H1" i="20"/>
  <c r="D1" i="20"/>
  <c r="C1" i="20"/>
  <c r="F236" i="19"/>
  <c r="F229" i="19"/>
  <c r="F220" i="19"/>
  <c r="F206" i="19"/>
  <c r="F196" i="19"/>
  <c r="F190" i="19"/>
  <c r="F183" i="19"/>
  <c r="F170" i="19"/>
  <c r="F164" i="19"/>
  <c r="F150" i="19"/>
  <c r="F141" i="19"/>
  <c r="F131" i="19"/>
  <c r="F119" i="19"/>
  <c r="F111" i="19"/>
  <c r="F101" i="19"/>
  <c r="F95" i="19"/>
  <c r="F76" i="19"/>
  <c r="F57" i="19"/>
  <c r="F50" i="19"/>
  <c r="F46" i="19"/>
  <c r="F33" i="19"/>
  <c r="F22" i="19"/>
  <c r="F8" i="19"/>
  <c r="F1" i="19" s="1"/>
  <c r="H1" i="19"/>
  <c r="G1" i="19"/>
  <c r="D1" i="19"/>
  <c r="C1" i="19"/>
  <c r="J270" i="28"/>
  <c r="J276" i="37"/>
  <c r="J356" i="22"/>
  <c r="J241" i="31"/>
  <c r="J234" i="21"/>
  <c r="J253" i="26"/>
  <c r="G1" i="33" l="1"/>
  <c r="G1" i="34"/>
  <c r="H479" i="5"/>
  <c r="G470" i="5"/>
  <c r="F1" i="25"/>
  <c r="F1" i="26"/>
  <c r="G1" i="30"/>
  <c r="I278" i="37"/>
  <c r="F1" i="34"/>
  <c r="I252" i="33"/>
  <c r="I225" i="32"/>
  <c r="K244" i="31"/>
  <c r="G1" i="31"/>
  <c r="I242" i="31"/>
  <c r="F1" i="31"/>
  <c r="I262" i="29"/>
  <c r="G1" i="29"/>
  <c r="K276" i="28"/>
  <c r="I271" i="28"/>
  <c r="I261" i="27"/>
  <c r="K259" i="26"/>
  <c r="I254" i="26"/>
  <c r="I256" i="25"/>
  <c r="G1" i="24"/>
  <c r="I350" i="23"/>
  <c r="G1" i="23"/>
  <c r="K362" i="22"/>
  <c r="I357" i="22"/>
  <c r="K240" i="21"/>
  <c r="I235" i="21"/>
  <c r="E466" i="5"/>
  <c r="F466" i="5"/>
  <c r="J224" i="32"/>
  <c r="J261" i="29"/>
  <c r="J236" i="25"/>
  <c r="J251" i="33"/>
  <c r="J277" i="37"/>
  <c r="J349" i="23"/>
  <c r="J260" i="27"/>
  <c r="H478" i="5" l="1"/>
  <c r="G469" i="5"/>
  <c r="I279" i="37"/>
  <c r="K257" i="33"/>
  <c r="I253" i="33"/>
  <c r="K230" i="32"/>
  <c r="I226" i="32"/>
  <c r="I243" i="31"/>
  <c r="K267" i="29"/>
  <c r="I263" i="29"/>
  <c r="I272" i="28"/>
  <c r="K266" i="27"/>
  <c r="I262" i="27"/>
  <c r="I255" i="26"/>
  <c r="I257" i="25"/>
  <c r="K355" i="23"/>
  <c r="I351" i="23"/>
  <c r="I358" i="22"/>
  <c r="I236" i="21"/>
  <c r="E465" i="5"/>
  <c r="F465" i="5"/>
  <c r="J262" i="29"/>
  <c r="J279" i="37"/>
  <c r="J252" i="33"/>
  <c r="J235" i="21"/>
  <c r="J242" i="31"/>
  <c r="J357" i="22"/>
  <c r="J225" i="32"/>
  <c r="J278" i="37"/>
  <c r="J350" i="23"/>
  <c r="J256" i="25"/>
  <c r="J261" i="27"/>
  <c r="J254" i="26"/>
  <c r="J271" i="28"/>
  <c r="H477" i="5" l="1"/>
  <c r="G468" i="5"/>
  <c r="I254" i="33"/>
  <c r="I227" i="32"/>
  <c r="I244" i="31"/>
  <c r="I264" i="29"/>
  <c r="I273" i="28"/>
  <c r="I263" i="27"/>
  <c r="I256" i="26"/>
  <c r="I258" i="25"/>
  <c r="I352" i="23"/>
  <c r="I359" i="22"/>
  <c r="I237" i="21"/>
  <c r="E464" i="5"/>
  <c r="F464" i="5"/>
  <c r="J257" i="25"/>
  <c r="J243" i="31"/>
  <c r="J255" i="26"/>
  <c r="J272" i="28"/>
  <c r="J358" i="22"/>
  <c r="J226" i="32"/>
  <c r="J236" i="21"/>
  <c r="J262" i="27"/>
  <c r="J253" i="33"/>
  <c r="J263" i="29"/>
  <c r="J351" i="23"/>
  <c r="H476" i="5" l="1"/>
  <c r="G467" i="5"/>
  <c r="I255" i="33"/>
  <c r="I228" i="32"/>
  <c r="I245" i="31"/>
  <c r="I265" i="29"/>
  <c r="I274" i="28"/>
  <c r="I264" i="27"/>
  <c r="I257" i="26"/>
  <c r="I259" i="25"/>
  <c r="I353" i="23"/>
  <c r="I360" i="22"/>
  <c r="I238" i="21"/>
  <c r="E463" i="5"/>
  <c r="F463" i="5"/>
  <c r="J273" i="28"/>
  <c r="J258" i="25"/>
  <c r="J264" i="29"/>
  <c r="J244" i="31"/>
  <c r="J237" i="21"/>
  <c r="J352" i="23"/>
  <c r="J256" i="26"/>
  <c r="J359" i="22"/>
  <c r="J263" i="27"/>
  <c r="J227" i="32"/>
  <c r="J254" i="33"/>
  <c r="H475" i="5" l="1"/>
  <c r="G466" i="5"/>
  <c r="I256" i="33"/>
  <c r="I229" i="32"/>
  <c r="I246" i="31"/>
  <c r="I266" i="29"/>
  <c r="I275" i="28"/>
  <c r="I265" i="27"/>
  <c r="I258" i="26"/>
  <c r="I260" i="25"/>
  <c r="I354" i="23"/>
  <c r="I361" i="22"/>
  <c r="I239" i="21"/>
  <c r="E462" i="5"/>
  <c r="F462" i="5"/>
  <c r="J238" i="21"/>
  <c r="J228" i="32"/>
  <c r="J353" i="23"/>
  <c r="J257" i="26"/>
  <c r="J255" i="33"/>
  <c r="J274" i="28"/>
  <c r="J360" i="22"/>
  <c r="J265" i="29"/>
  <c r="J245" i="31"/>
  <c r="J259" i="25"/>
  <c r="J264" i="27"/>
  <c r="H474" i="5" l="1"/>
  <c r="G465" i="5"/>
  <c r="I257" i="33"/>
  <c r="I230" i="32"/>
  <c r="I247" i="31"/>
  <c r="I267" i="29"/>
  <c r="I276" i="28"/>
  <c r="I266" i="27"/>
  <c r="I259" i="26"/>
  <c r="I261" i="25"/>
  <c r="I355" i="23"/>
  <c r="I362" i="22"/>
  <c r="I240" i="21"/>
  <c r="E461" i="5"/>
  <c r="F461" i="5"/>
  <c r="J258" i="26"/>
  <c r="J239" i="21"/>
  <c r="J266" i="29"/>
  <c r="J265" i="27"/>
  <c r="J246" i="31"/>
  <c r="J256" i="33"/>
  <c r="J354" i="23"/>
  <c r="J275" i="28"/>
  <c r="J260" i="25"/>
  <c r="J361" i="22"/>
  <c r="J229" i="32"/>
  <c r="H473" i="5" l="1"/>
  <c r="G464" i="5"/>
  <c r="I258" i="33"/>
  <c r="I231" i="32"/>
  <c r="I248" i="31"/>
  <c r="I268" i="29"/>
  <c r="I277" i="28"/>
  <c r="I267" i="27"/>
  <c r="I260" i="26"/>
  <c r="I262" i="25"/>
  <c r="I356" i="23"/>
  <c r="I363" i="22"/>
  <c r="I241" i="21"/>
  <c r="E460" i="5"/>
  <c r="F460" i="5"/>
  <c r="J257" i="33"/>
  <c r="J267" i="29"/>
  <c r="J247" i="31"/>
  <c r="J362" i="22"/>
  <c r="J276" i="28"/>
  <c r="J230" i="32"/>
  <c r="J261" i="25"/>
  <c r="J240" i="21"/>
  <c r="J259" i="26"/>
  <c r="J355" i="23"/>
  <c r="J266" i="27"/>
  <c r="H472" i="5" l="1"/>
  <c r="G463" i="5"/>
  <c r="I259" i="33"/>
  <c r="I232" i="32"/>
  <c r="I249" i="31"/>
  <c r="I269" i="29"/>
  <c r="I278" i="28"/>
  <c r="I268" i="27"/>
  <c r="I261" i="26"/>
  <c r="I263" i="25"/>
  <c r="I357" i="23"/>
  <c r="I364" i="22"/>
  <c r="I242" i="21"/>
  <c r="E459" i="5"/>
  <c r="F459" i="5"/>
  <c r="J241" i="21"/>
  <c r="J277" i="28"/>
  <c r="J262" i="25"/>
  <c r="J356" i="23"/>
  <c r="J267" i="27"/>
  <c r="J268" i="29"/>
  <c r="J248" i="31"/>
  <c r="J258" i="33"/>
  <c r="J260" i="26"/>
  <c r="J231" i="32"/>
  <c r="J363" i="22"/>
  <c r="H471" i="5" l="1"/>
  <c r="G462" i="5"/>
  <c r="K264" i="33"/>
  <c r="I260" i="33"/>
  <c r="J238" i="32"/>
  <c r="K237" i="32"/>
  <c r="I233" i="32"/>
  <c r="K251" i="31"/>
  <c r="I250" i="31"/>
  <c r="K274" i="29"/>
  <c r="I270" i="29"/>
  <c r="K283" i="28"/>
  <c r="I279" i="28"/>
  <c r="K273" i="27"/>
  <c r="I269" i="27"/>
  <c r="K266" i="26"/>
  <c r="I262" i="26"/>
  <c r="I264" i="25"/>
  <c r="K362" i="23"/>
  <c r="I358" i="23"/>
  <c r="K369" i="22"/>
  <c r="I365" i="22"/>
  <c r="K247" i="21"/>
  <c r="I243" i="21"/>
  <c r="E458" i="5"/>
  <c r="F458" i="5"/>
  <c r="J242" i="21"/>
  <c r="J364" i="22"/>
  <c r="J269" i="29"/>
  <c r="J268" i="27"/>
  <c r="J261" i="26"/>
  <c r="J278" i="28"/>
  <c r="J357" i="23"/>
  <c r="J232" i="32"/>
  <c r="J249" i="31"/>
  <c r="J263" i="25"/>
  <c r="J259" i="33"/>
  <c r="H470" i="5" l="1"/>
  <c r="G461" i="5"/>
  <c r="I261" i="33"/>
  <c r="I234" i="32"/>
  <c r="I251" i="31"/>
  <c r="I271" i="29"/>
  <c r="I280" i="28"/>
  <c r="I270" i="27"/>
  <c r="I263" i="26"/>
  <c r="I265" i="25"/>
  <c r="I359" i="23"/>
  <c r="I366" i="22"/>
  <c r="I244" i="21"/>
  <c r="E456" i="5"/>
  <c r="F456" i="5"/>
  <c r="E457" i="5"/>
  <c r="F457" i="5"/>
  <c r="J233" i="32"/>
  <c r="J262" i="26"/>
  <c r="J264" i="25"/>
  <c r="J269" i="27"/>
  <c r="J243" i="21"/>
  <c r="J279" i="28"/>
  <c r="J270" i="29"/>
  <c r="J358" i="23"/>
  <c r="J250" i="31"/>
  <c r="J365" i="22"/>
  <c r="J260" i="33"/>
  <c r="H469" i="5" l="1"/>
  <c r="G460" i="5"/>
  <c r="H468" i="5"/>
  <c r="G459" i="5"/>
  <c r="I262" i="33"/>
  <c r="I235" i="32"/>
  <c r="I252" i="31"/>
  <c r="I272" i="29"/>
  <c r="I281" i="28"/>
  <c r="I271" i="27"/>
  <c r="I264" i="26"/>
  <c r="I266" i="25"/>
  <c r="I360" i="23"/>
  <c r="I367" i="22"/>
  <c r="I245" i="21"/>
  <c r="E455" i="5"/>
  <c r="F455" i="5"/>
  <c r="H467" i="5" s="1"/>
  <c r="J270" i="27"/>
  <c r="J366" i="22"/>
  <c r="J271" i="29"/>
  <c r="J265" i="25"/>
  <c r="J359" i="23"/>
  <c r="J261" i="33"/>
  <c r="J263" i="26"/>
  <c r="J244" i="21"/>
  <c r="J280" i="28"/>
  <c r="J251" i="31"/>
  <c r="J234" i="32"/>
  <c r="I263" i="33" l="1"/>
  <c r="I236" i="32"/>
  <c r="I253" i="31"/>
  <c r="I273" i="29"/>
  <c r="I282" i="28"/>
  <c r="I272" i="27"/>
  <c r="I265" i="26"/>
  <c r="I267" i="25"/>
  <c r="I361" i="23"/>
  <c r="I368" i="22"/>
  <c r="I246" i="21"/>
  <c r="G458" i="5"/>
  <c r="E453" i="5"/>
  <c r="F453" i="5"/>
  <c r="E454" i="5"/>
  <c r="F454" i="5"/>
  <c r="G457" i="5" s="1"/>
  <c r="J264" i="26"/>
  <c r="J271" i="27"/>
  <c r="J360" i="23"/>
  <c r="J262" i="33"/>
  <c r="J367" i="22"/>
  <c r="J245" i="21"/>
  <c r="J281" i="28"/>
  <c r="J272" i="29"/>
  <c r="J252" i="31"/>
  <c r="J235" i="32"/>
  <c r="J266" i="25"/>
  <c r="H466" i="5" l="1"/>
  <c r="H465" i="5"/>
  <c r="G456" i="5"/>
  <c r="I264" i="33"/>
  <c r="I237" i="32"/>
  <c r="I254" i="31"/>
  <c r="J275" i="29"/>
  <c r="I274" i="29"/>
  <c r="I283" i="28"/>
  <c r="I273" i="27"/>
  <c r="I266" i="26"/>
  <c r="I268" i="25"/>
  <c r="I362" i="23"/>
  <c r="I369" i="22"/>
  <c r="I247" i="21"/>
  <c r="E452" i="5"/>
  <c r="F452" i="5"/>
  <c r="J246" i="21"/>
  <c r="J247" i="21"/>
  <c r="J254" i="31"/>
  <c r="J369" i="22"/>
  <c r="J283" i="28"/>
  <c r="J368" i="22"/>
  <c r="J274" i="29"/>
  <c r="J272" i="27"/>
  <c r="J267" i="25"/>
  <c r="J253" i="31"/>
  <c r="J265" i="26"/>
  <c r="J263" i="33"/>
  <c r="J282" i="28"/>
  <c r="J273" i="29"/>
  <c r="J362" i="23"/>
  <c r="J268" i="25"/>
  <c r="J361" i="23"/>
  <c r="J236" i="32"/>
  <c r="J237" i="32"/>
  <c r="J264" i="33"/>
  <c r="J273" i="27"/>
  <c r="J266" i="26"/>
  <c r="H464" i="5" l="1"/>
  <c r="G455" i="5"/>
  <c r="E451" i="5"/>
  <c r="F451" i="5"/>
  <c r="H463" i="5" l="1"/>
  <c r="G454" i="5"/>
  <c r="E450" i="5"/>
  <c r="F450" i="5"/>
  <c r="H462" i="5" l="1"/>
  <c r="G453" i="5"/>
  <c r="E449" i="5" l="1"/>
  <c r="F449" i="5"/>
  <c r="H461" i="5" l="1"/>
  <c r="G452" i="5"/>
  <c r="E448" i="5"/>
  <c r="F448" i="5"/>
  <c r="H460" i="5" l="1"/>
  <c r="G451" i="5"/>
  <c r="E447" i="5"/>
  <c r="F447" i="5"/>
  <c r="I498" i="5" l="1"/>
  <c r="K498" i="5"/>
  <c r="I497" i="5"/>
  <c r="I496" i="5"/>
  <c r="I495" i="5"/>
  <c r="I494" i="5"/>
  <c r="I493" i="5"/>
  <c r="I492" i="5"/>
  <c r="I489" i="5"/>
  <c r="I491" i="5"/>
  <c r="I488" i="5"/>
  <c r="I490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3" i="5"/>
  <c r="I461" i="5"/>
  <c r="H459" i="5"/>
  <c r="I459" i="5"/>
  <c r="I458" i="5"/>
  <c r="I457" i="5"/>
  <c r="I464" i="5"/>
  <c r="I462" i="5"/>
  <c r="I460" i="5"/>
  <c r="I456" i="5"/>
  <c r="I455" i="5"/>
  <c r="I454" i="5"/>
  <c r="I452" i="5"/>
  <c r="I453" i="5"/>
  <c r="I450" i="5"/>
  <c r="I451" i="5"/>
  <c r="G450" i="5"/>
  <c r="I448" i="5"/>
  <c r="I447" i="5"/>
  <c r="I449" i="5"/>
  <c r="J448" i="5"/>
  <c r="L448" i="5"/>
  <c r="E446" i="5"/>
  <c r="F446" i="5"/>
  <c r="L449" i="5" l="1"/>
  <c r="J449" i="5"/>
  <c r="L451" i="5"/>
  <c r="J451" i="5"/>
  <c r="L453" i="5"/>
  <c r="J453" i="5"/>
  <c r="L454" i="5"/>
  <c r="J454" i="5"/>
  <c r="L456" i="5"/>
  <c r="J456" i="5"/>
  <c r="J462" i="5"/>
  <c r="L462" i="5"/>
  <c r="J457" i="5"/>
  <c r="L457" i="5"/>
  <c r="L459" i="5"/>
  <c r="J459" i="5"/>
  <c r="J461" i="5"/>
  <c r="L461" i="5"/>
  <c r="J465" i="5"/>
  <c r="L465" i="5"/>
  <c r="J467" i="5"/>
  <c r="L467" i="5"/>
  <c r="J469" i="5"/>
  <c r="L469" i="5"/>
  <c r="L471" i="5"/>
  <c r="J471" i="5"/>
  <c r="J473" i="5"/>
  <c r="L473" i="5"/>
  <c r="J475" i="5"/>
  <c r="L475" i="5"/>
  <c r="J477" i="5"/>
  <c r="L477" i="5"/>
  <c r="L479" i="5"/>
  <c r="J479" i="5"/>
  <c r="L481" i="5"/>
  <c r="J481" i="5"/>
  <c r="L483" i="5"/>
  <c r="J483" i="5"/>
  <c r="J485" i="5"/>
  <c r="L485" i="5"/>
  <c r="J487" i="5"/>
  <c r="L487" i="5"/>
  <c r="L488" i="5"/>
  <c r="J488" i="5"/>
  <c r="J489" i="5"/>
  <c r="L489" i="5"/>
  <c r="J493" i="5"/>
  <c r="L493" i="5"/>
  <c r="J495" i="5"/>
  <c r="L495" i="5"/>
  <c r="L497" i="5"/>
  <c r="J497" i="5"/>
  <c r="L498" i="5"/>
  <c r="J498" i="5"/>
  <c r="K497" i="5"/>
  <c r="H458" i="5"/>
  <c r="G449" i="5"/>
  <c r="J450" i="5"/>
  <c r="L450" i="5"/>
  <c r="L452" i="5"/>
  <c r="J452" i="5"/>
  <c r="L455" i="5"/>
  <c r="J455" i="5"/>
  <c r="J460" i="5"/>
  <c r="L460" i="5"/>
  <c r="J464" i="5"/>
  <c r="L464" i="5"/>
  <c r="L458" i="5"/>
  <c r="J458" i="5"/>
  <c r="J463" i="5"/>
  <c r="L463" i="5"/>
  <c r="J466" i="5"/>
  <c r="L466" i="5"/>
  <c r="L468" i="5"/>
  <c r="J468" i="5"/>
  <c r="J470" i="5"/>
  <c r="L470" i="5"/>
  <c r="J472" i="5"/>
  <c r="L472" i="5"/>
  <c r="J474" i="5"/>
  <c r="L474" i="5"/>
  <c r="J476" i="5"/>
  <c r="L476" i="5"/>
  <c r="L478" i="5"/>
  <c r="J478" i="5"/>
  <c r="L480" i="5"/>
  <c r="J480" i="5"/>
  <c r="L482" i="5"/>
  <c r="J482" i="5"/>
  <c r="L484" i="5"/>
  <c r="J484" i="5"/>
  <c r="L486" i="5"/>
  <c r="J486" i="5"/>
  <c r="J490" i="5"/>
  <c r="L490" i="5"/>
  <c r="J491" i="5"/>
  <c r="L491" i="5"/>
  <c r="J492" i="5"/>
  <c r="L492" i="5"/>
  <c r="J494" i="5"/>
  <c r="L494" i="5"/>
  <c r="J496" i="5"/>
  <c r="L496" i="5"/>
  <c r="J447" i="5"/>
  <c r="L447" i="5"/>
  <c r="E445" i="5"/>
  <c r="F445" i="5"/>
  <c r="K496" i="5" l="1"/>
  <c r="H457" i="5"/>
  <c r="G448" i="5"/>
  <c r="E444" i="5"/>
  <c r="F444" i="5"/>
  <c r="K495" i="5" l="1"/>
  <c r="H456" i="5"/>
  <c r="G447" i="5"/>
  <c r="E443" i="5"/>
  <c r="F443" i="5"/>
  <c r="K494" i="5" l="1"/>
  <c r="H455" i="5"/>
  <c r="G446" i="5"/>
  <c r="E442" i="5"/>
  <c r="F442" i="5"/>
  <c r="K493" i="5" l="1"/>
  <c r="H454" i="5"/>
  <c r="G445" i="5"/>
  <c r="E441" i="5"/>
  <c r="F441" i="5"/>
  <c r="K492" i="5" l="1"/>
  <c r="H453" i="5"/>
  <c r="G444" i="5"/>
  <c r="E440" i="5"/>
  <c r="F440" i="5"/>
  <c r="K491" i="5" l="1"/>
  <c r="H452" i="5"/>
  <c r="G443" i="5"/>
  <c r="E438" i="5"/>
  <c r="F438" i="5"/>
  <c r="E439" i="5"/>
  <c r="F439" i="5"/>
  <c r="K490" i="5" l="1"/>
  <c r="H451" i="5"/>
  <c r="G442" i="5"/>
  <c r="K489" i="5"/>
  <c r="H450" i="5"/>
  <c r="G441" i="5"/>
  <c r="E437" i="5"/>
  <c r="F437" i="5"/>
  <c r="K488" i="5" l="1"/>
  <c r="H449" i="5"/>
  <c r="G440" i="5"/>
  <c r="E436" i="5"/>
  <c r="F436" i="5"/>
  <c r="K487" i="5" l="1"/>
  <c r="H448" i="5"/>
  <c r="G439" i="5"/>
  <c r="E435" i="5"/>
  <c r="F435" i="5"/>
  <c r="K486" i="5" l="1"/>
  <c r="H447" i="5"/>
  <c r="G438" i="5"/>
  <c r="E434" i="5"/>
  <c r="F434" i="5"/>
  <c r="K485" i="5" l="1"/>
  <c r="H446" i="5"/>
  <c r="G437" i="5"/>
  <c r="E433" i="5"/>
  <c r="F433" i="5"/>
  <c r="K484" i="5" l="1"/>
  <c r="H445" i="5"/>
  <c r="G436" i="5"/>
  <c r="E432" i="5" l="1"/>
  <c r="F432" i="5"/>
  <c r="K483" i="5" l="1"/>
  <c r="H444" i="5"/>
  <c r="G435" i="5"/>
  <c r="E431" i="5"/>
  <c r="F431" i="5"/>
  <c r="K482" i="5" l="1"/>
  <c r="H443" i="5"/>
  <c r="G434" i="5"/>
  <c r="E430" i="5"/>
  <c r="F430" i="5"/>
  <c r="K481" i="5" l="1"/>
  <c r="H442" i="5"/>
  <c r="G433" i="5"/>
  <c r="E429" i="5"/>
  <c r="F429" i="5"/>
  <c r="K480" i="5" l="1"/>
  <c r="H441" i="5"/>
  <c r="G432" i="5"/>
  <c r="E428" i="5"/>
  <c r="F428" i="5"/>
  <c r="K479" i="5" l="1"/>
  <c r="H440" i="5"/>
  <c r="G431" i="5"/>
  <c r="E427" i="5"/>
  <c r="F427" i="5"/>
  <c r="K478" i="5" l="1"/>
  <c r="H439" i="5"/>
  <c r="G430" i="5"/>
  <c r="E426" i="5"/>
  <c r="F426" i="5"/>
  <c r="K477" i="5" l="1"/>
  <c r="H438" i="5"/>
  <c r="G429" i="5"/>
  <c r="E425" i="5"/>
  <c r="F425" i="5"/>
  <c r="K476" i="5" l="1"/>
  <c r="H437" i="5"/>
  <c r="G428" i="5"/>
  <c r="E424" i="5"/>
  <c r="F424" i="5"/>
  <c r="K475" i="5" l="1"/>
  <c r="H436" i="5"/>
  <c r="G427" i="5"/>
  <c r="F296" i="16"/>
  <c r="F275" i="16"/>
  <c r="F266" i="16"/>
  <c r="F258" i="16"/>
  <c r="F253" i="16"/>
  <c r="F241" i="16"/>
  <c r="G231" i="16"/>
  <c r="F229" i="16"/>
  <c r="F215" i="16"/>
  <c r="F204" i="16"/>
  <c r="F196" i="16"/>
  <c r="F183" i="16"/>
  <c r="F171" i="16"/>
  <c r="F158" i="16"/>
  <c r="F146" i="16"/>
  <c r="F136" i="16"/>
  <c r="F127" i="16"/>
  <c r="F117" i="16"/>
  <c r="F106" i="16"/>
  <c r="F96" i="16"/>
  <c r="F88" i="16"/>
  <c r="F78" i="16"/>
  <c r="F67" i="16"/>
  <c r="F52" i="16"/>
  <c r="F37" i="16"/>
  <c r="F27" i="16"/>
  <c r="F17" i="16"/>
  <c r="H1" i="16"/>
  <c r="I298" i="16" s="1"/>
  <c r="G1" i="16"/>
  <c r="F1" i="16"/>
  <c r="D1" i="16"/>
  <c r="C1" i="16"/>
  <c r="F254" i="17"/>
  <c r="F247" i="17"/>
  <c r="F240" i="17"/>
  <c r="F225" i="17"/>
  <c r="F216" i="17"/>
  <c r="F204" i="17"/>
  <c r="F193" i="17"/>
  <c r="F179" i="17"/>
  <c r="F172" i="17"/>
  <c r="F162" i="17"/>
  <c r="F149" i="17"/>
  <c r="F144" i="17"/>
  <c r="F137" i="17"/>
  <c r="F131" i="17"/>
  <c r="F125" i="17"/>
  <c r="F110" i="17"/>
  <c r="F100" i="17"/>
  <c r="F92" i="17"/>
  <c r="F76" i="17"/>
  <c r="F69" i="17"/>
  <c r="F59" i="17"/>
  <c r="F48" i="17"/>
  <c r="F41" i="17"/>
  <c r="F31" i="17"/>
  <c r="F23" i="17"/>
  <c r="F15" i="17"/>
  <c r="H1" i="17"/>
  <c r="F1" i="17"/>
  <c r="D1" i="17"/>
  <c r="C1" i="17"/>
  <c r="F209" i="18"/>
  <c r="F195" i="18"/>
  <c r="F184" i="18"/>
  <c r="F179" i="18"/>
  <c r="F175" i="18"/>
  <c r="F170" i="18"/>
  <c r="F162" i="18"/>
  <c r="F155" i="18"/>
  <c r="F141" i="18"/>
  <c r="G133" i="18"/>
  <c r="F126" i="18"/>
  <c r="F120" i="18"/>
  <c r="F111" i="18"/>
  <c r="F103" i="18"/>
  <c r="F93" i="18"/>
  <c r="F84" i="18"/>
  <c r="F74" i="18"/>
  <c r="F69" i="18"/>
  <c r="F63" i="18"/>
  <c r="F54" i="18"/>
  <c r="F43" i="18"/>
  <c r="F38" i="18"/>
  <c r="F33" i="18"/>
  <c r="F28" i="18"/>
  <c r="F21" i="18"/>
  <c r="F14" i="18"/>
  <c r="H1" i="18"/>
  <c r="F1" i="18"/>
  <c r="D1" i="18"/>
  <c r="C1" i="18"/>
  <c r="F238" i="13"/>
  <c r="F233" i="13"/>
  <c r="F224" i="13"/>
  <c r="F216" i="13"/>
  <c r="F204" i="13"/>
  <c r="F193" i="13"/>
  <c r="F184" i="13"/>
  <c r="F165" i="13"/>
  <c r="F155" i="13"/>
  <c r="F147" i="13"/>
  <c r="F142" i="13"/>
  <c r="F136" i="13"/>
  <c r="F127" i="13"/>
  <c r="G127" i="13" s="1"/>
  <c r="F115" i="13"/>
  <c r="G115" i="13" s="1"/>
  <c r="F107" i="13"/>
  <c r="G100" i="13"/>
  <c r="F100" i="13"/>
  <c r="F93" i="13"/>
  <c r="F87" i="13"/>
  <c r="G87" i="13" s="1"/>
  <c r="F73" i="13"/>
  <c r="F59" i="13"/>
  <c r="F51" i="13"/>
  <c r="F46" i="13"/>
  <c r="F37" i="13"/>
  <c r="F29" i="13"/>
  <c r="F21" i="13"/>
  <c r="F1" i="13" s="1"/>
  <c r="F17" i="13"/>
  <c r="H1" i="13"/>
  <c r="D1" i="13"/>
  <c r="C1" i="13"/>
  <c r="F293" i="14"/>
  <c r="F282" i="14"/>
  <c r="F268" i="14"/>
  <c r="F258" i="14"/>
  <c r="F247" i="14"/>
  <c r="F238" i="14"/>
  <c r="F226" i="14"/>
  <c r="F217" i="14"/>
  <c r="F210" i="14"/>
  <c r="F200" i="14"/>
  <c r="F189" i="14"/>
  <c r="F172" i="14"/>
  <c r="F162" i="14"/>
  <c r="F149" i="14"/>
  <c r="F135" i="14"/>
  <c r="F129" i="14"/>
  <c r="F116" i="14"/>
  <c r="F105" i="14"/>
  <c r="F93" i="14"/>
  <c r="F80" i="14"/>
  <c r="F71" i="14"/>
  <c r="F61" i="14"/>
  <c r="F54" i="14"/>
  <c r="F46" i="14"/>
  <c r="F24" i="14"/>
  <c r="F10" i="14"/>
  <c r="H1" i="14"/>
  <c r="D1" i="14"/>
  <c r="C1" i="14"/>
  <c r="F273" i="15"/>
  <c r="F261" i="15"/>
  <c r="F251" i="15"/>
  <c r="F239" i="15"/>
  <c r="F227" i="15"/>
  <c r="F221" i="15"/>
  <c r="F208" i="15"/>
  <c r="F201" i="15"/>
  <c r="F198" i="15"/>
  <c r="F193" i="15"/>
  <c r="F183" i="15"/>
  <c r="F170" i="15"/>
  <c r="F161" i="15"/>
  <c r="F152" i="15"/>
  <c r="F137" i="15"/>
  <c r="G128" i="15"/>
  <c r="F128" i="15"/>
  <c r="F120" i="15"/>
  <c r="F115" i="15"/>
  <c r="F97" i="15"/>
  <c r="F88" i="15"/>
  <c r="F75" i="15"/>
  <c r="F65" i="15"/>
  <c r="F55" i="15"/>
  <c r="F37" i="15"/>
  <c r="F28" i="15"/>
  <c r="F16" i="15"/>
  <c r="H1" i="15"/>
  <c r="D1" i="15"/>
  <c r="C1" i="15"/>
  <c r="F322" i="11"/>
  <c r="L319" i="11"/>
  <c r="F312" i="11"/>
  <c r="F297" i="11"/>
  <c r="F287" i="11"/>
  <c r="F273" i="11"/>
  <c r="F265" i="11"/>
  <c r="F256" i="11"/>
  <c r="F244" i="11"/>
  <c r="G244" i="11" s="1"/>
  <c r="F232" i="11"/>
  <c r="G232" i="11" s="1"/>
  <c r="F218" i="11"/>
  <c r="F209" i="11"/>
  <c r="F203" i="11"/>
  <c r="G203" i="11" s="1"/>
  <c r="F199" i="11"/>
  <c r="G199" i="11" s="1"/>
  <c r="F193" i="11"/>
  <c r="G193" i="11" s="1"/>
  <c r="F184" i="11"/>
  <c r="F168" i="11"/>
  <c r="F157" i="11"/>
  <c r="F146" i="11"/>
  <c r="F133" i="11"/>
  <c r="F120" i="11"/>
  <c r="F101" i="11"/>
  <c r="F81" i="11"/>
  <c r="F74" i="11"/>
  <c r="F58" i="11"/>
  <c r="F45" i="11"/>
  <c r="F28" i="11"/>
  <c r="F19" i="11"/>
  <c r="H1" i="11"/>
  <c r="D1" i="11"/>
  <c r="C1" i="11"/>
  <c r="F331" i="12"/>
  <c r="F312" i="12"/>
  <c r="F301" i="12"/>
  <c r="F284" i="12"/>
  <c r="F266" i="12"/>
  <c r="F250" i="12"/>
  <c r="G250" i="12" s="1"/>
  <c r="F235" i="12"/>
  <c r="F218" i="12"/>
  <c r="F201" i="12"/>
  <c r="F193" i="12"/>
  <c r="F179" i="12"/>
  <c r="F167" i="12"/>
  <c r="F163" i="12"/>
  <c r="F150" i="12"/>
  <c r="F138" i="12"/>
  <c r="F129" i="12"/>
  <c r="F121" i="12"/>
  <c r="F111" i="12"/>
  <c r="F97" i="12"/>
  <c r="F83" i="12"/>
  <c r="F54" i="12"/>
  <c r="G54" i="12" s="1"/>
  <c r="F69" i="12" s="1"/>
  <c r="F41" i="12"/>
  <c r="F29" i="12"/>
  <c r="F14" i="12"/>
  <c r="G3" i="12"/>
  <c r="H1" i="12"/>
  <c r="D1" i="12"/>
  <c r="C1" i="12"/>
  <c r="F306" i="9"/>
  <c r="F301" i="9"/>
  <c r="F291" i="9"/>
  <c r="F276" i="9"/>
  <c r="F255" i="9"/>
  <c r="F243" i="9"/>
  <c r="G243" i="9" s="1"/>
  <c r="F235" i="9"/>
  <c r="F219" i="9"/>
  <c r="F206" i="9"/>
  <c r="F190" i="9"/>
  <c r="F181" i="9"/>
  <c r="F176" i="9"/>
  <c r="F154" i="9"/>
  <c r="F142" i="9"/>
  <c r="F129" i="9"/>
  <c r="F113" i="9"/>
  <c r="F103" i="9"/>
  <c r="F85" i="9"/>
  <c r="F72" i="9"/>
  <c r="F55" i="9"/>
  <c r="F44" i="9"/>
  <c r="F31" i="9"/>
  <c r="F17" i="9"/>
  <c r="F11" i="9"/>
  <c r="H1" i="9"/>
  <c r="F211" i="10"/>
  <c r="F193" i="10"/>
  <c r="F181" i="10"/>
  <c r="F171" i="10"/>
  <c r="F163" i="10"/>
  <c r="F158" i="10"/>
  <c r="F148" i="10"/>
  <c r="G140" i="10"/>
  <c r="F135" i="10"/>
  <c r="F123" i="10"/>
  <c r="F115" i="10"/>
  <c r="F105" i="10"/>
  <c r="F97" i="10"/>
  <c r="F88" i="10"/>
  <c r="F79" i="10"/>
  <c r="F73" i="10"/>
  <c r="F65" i="10"/>
  <c r="F58" i="10"/>
  <c r="F48" i="10"/>
  <c r="F45" i="10"/>
  <c r="G39" i="10"/>
  <c r="F35" i="10"/>
  <c r="F25" i="10"/>
  <c r="F13" i="10"/>
  <c r="F8" i="10"/>
  <c r="H1" i="10"/>
  <c r="D1" i="10"/>
  <c r="C1" i="10"/>
  <c r="I299" i="16" l="1"/>
  <c r="E423" i="5"/>
  <c r="F423" i="5"/>
  <c r="J298" i="16"/>
  <c r="K474" i="5" l="1"/>
  <c r="H435" i="5"/>
  <c r="G426" i="5"/>
  <c r="K304" i="16"/>
  <c r="I300" i="16"/>
  <c r="E422" i="5"/>
  <c r="F422" i="5"/>
  <c r="J299" i="16"/>
  <c r="K473" i="5" l="1"/>
  <c r="H434" i="5"/>
  <c r="G425" i="5"/>
  <c r="I301" i="16"/>
  <c r="E421" i="5"/>
  <c r="F421" i="5"/>
  <c r="J300" i="16"/>
  <c r="K472" i="5" l="1"/>
  <c r="H433" i="5"/>
  <c r="G424" i="5"/>
  <c r="I302" i="16"/>
  <c r="E420" i="5"/>
  <c r="F420" i="5"/>
  <c r="J301" i="16"/>
  <c r="K471" i="5" l="1"/>
  <c r="H432" i="5"/>
  <c r="G423" i="5"/>
  <c r="I303" i="16"/>
  <c r="E419" i="5"/>
  <c r="F419" i="5"/>
  <c r="J302" i="16"/>
  <c r="K470" i="5" l="1"/>
  <c r="H431" i="5"/>
  <c r="G422" i="5"/>
  <c r="I304" i="16"/>
  <c r="E418" i="5"/>
  <c r="F418" i="5"/>
  <c r="J303" i="16"/>
  <c r="K469" i="5" l="1"/>
  <c r="H430" i="5"/>
  <c r="G421" i="5"/>
  <c r="I305" i="16"/>
  <c r="E417" i="5"/>
  <c r="F417" i="5"/>
  <c r="J304" i="16"/>
  <c r="K468" i="5" l="1"/>
  <c r="H429" i="5"/>
  <c r="G420" i="5"/>
  <c r="I306" i="16"/>
  <c r="E416" i="5"/>
  <c r="F416" i="5"/>
  <c r="J305" i="16"/>
  <c r="K467" i="5" l="1"/>
  <c r="H428" i="5"/>
  <c r="G419" i="5"/>
  <c r="K311" i="16"/>
  <c r="I307" i="16"/>
  <c r="E415" i="5"/>
  <c r="F415" i="5"/>
  <c r="J306" i="16"/>
  <c r="K466" i="5" l="1"/>
  <c r="H427" i="5"/>
  <c r="G418" i="5"/>
  <c r="I308" i="16"/>
  <c r="E414" i="5"/>
  <c r="F414" i="5"/>
  <c r="J307" i="16"/>
  <c r="K465" i="5" l="1"/>
  <c r="H426" i="5"/>
  <c r="G417" i="5"/>
  <c r="I309" i="16"/>
  <c r="E413" i="5"/>
  <c r="F413" i="5"/>
  <c r="J308" i="16"/>
  <c r="K464" i="5" l="1"/>
  <c r="H425" i="5"/>
  <c r="G416" i="5"/>
  <c r="I310" i="16"/>
  <c r="E412" i="5"/>
  <c r="F412" i="5"/>
  <c r="J309" i="16"/>
  <c r="K463" i="5" l="1"/>
  <c r="H424" i="5"/>
  <c r="G415" i="5"/>
  <c r="I311" i="16"/>
  <c r="E411" i="5"/>
  <c r="F411" i="5"/>
  <c r="J310" i="16"/>
  <c r="J311" i="16"/>
  <c r="K462" i="5" l="1"/>
  <c r="H423" i="5"/>
  <c r="G414" i="5"/>
  <c r="E410" i="5"/>
  <c r="F410" i="5"/>
  <c r="K461" i="5" l="1"/>
  <c r="H422" i="5"/>
  <c r="G413" i="5"/>
  <c r="E409" i="5"/>
  <c r="F409" i="5"/>
  <c r="K460" i="5" l="1"/>
  <c r="H421" i="5"/>
  <c r="G412" i="5"/>
  <c r="E408" i="5"/>
  <c r="F408" i="5"/>
  <c r="K459" i="5" l="1"/>
  <c r="H420" i="5"/>
  <c r="G411" i="5"/>
  <c r="E407" i="5"/>
  <c r="F407" i="5"/>
  <c r="K458" i="5" l="1"/>
  <c r="H419" i="5"/>
  <c r="G410" i="5"/>
  <c r="E406" i="5"/>
  <c r="F406" i="5"/>
  <c r="K457" i="5" l="1"/>
  <c r="H418" i="5"/>
  <c r="G409" i="5"/>
  <c r="E405" i="5"/>
  <c r="F405" i="5"/>
  <c r="K456" i="5" l="1"/>
  <c r="H417" i="5"/>
  <c r="G408" i="5"/>
  <c r="E404" i="5"/>
  <c r="F404" i="5"/>
  <c r="K455" i="5" l="1"/>
  <c r="H416" i="5"/>
  <c r="G407" i="5"/>
  <c r="E403" i="5"/>
  <c r="F403" i="5"/>
  <c r="K454" i="5" l="1"/>
  <c r="H415" i="5"/>
  <c r="G406" i="5"/>
  <c r="E402" i="5"/>
  <c r="F402" i="5"/>
  <c r="K453" i="5" l="1"/>
  <c r="H414" i="5"/>
  <c r="G405" i="5"/>
  <c r="E401" i="5"/>
  <c r="F401" i="5"/>
  <c r="K452" i="5" l="1"/>
  <c r="H413" i="5"/>
  <c r="G404" i="5"/>
  <c r="E400" i="5"/>
  <c r="F400" i="5"/>
  <c r="K451" i="5" l="1"/>
  <c r="H412" i="5"/>
  <c r="G403" i="5"/>
  <c r="E399" i="5"/>
  <c r="F399" i="5"/>
  <c r="E398" i="5"/>
  <c r="F398" i="5"/>
  <c r="K450" i="5" l="1"/>
  <c r="H411" i="5"/>
  <c r="G402" i="5"/>
  <c r="K449" i="5"/>
  <c r="H410" i="5"/>
  <c r="G401" i="5"/>
  <c r="E397" i="5"/>
  <c r="F397" i="5"/>
  <c r="K448" i="5" l="1"/>
  <c r="H409" i="5"/>
  <c r="G400" i="5"/>
  <c r="E396" i="5"/>
  <c r="F396" i="5"/>
  <c r="K447" i="5" l="1"/>
  <c r="H408" i="5"/>
  <c r="G399" i="5"/>
  <c r="E395" i="5"/>
  <c r="F395" i="5"/>
  <c r="I400" i="5" l="1"/>
  <c r="I402" i="5"/>
  <c r="I404" i="5"/>
  <c r="I406" i="5"/>
  <c r="I408" i="5"/>
  <c r="I410" i="5"/>
  <c r="I412" i="5"/>
  <c r="I414" i="5"/>
  <c r="I416" i="5"/>
  <c r="I418" i="5"/>
  <c r="I420" i="5"/>
  <c r="I422" i="5"/>
  <c r="I424" i="5"/>
  <c r="I426" i="5"/>
  <c r="I428" i="5"/>
  <c r="I430" i="5"/>
  <c r="I432" i="5"/>
  <c r="I434" i="5"/>
  <c r="I436" i="5"/>
  <c r="I438" i="5"/>
  <c r="I440" i="5"/>
  <c r="I442" i="5"/>
  <c r="I444" i="5"/>
  <c r="I446" i="5"/>
  <c r="I397" i="5"/>
  <c r="I395" i="5"/>
  <c r="I399" i="5"/>
  <c r="I401" i="5"/>
  <c r="I403" i="5"/>
  <c r="I405" i="5"/>
  <c r="I407" i="5"/>
  <c r="I409" i="5"/>
  <c r="I411" i="5"/>
  <c r="I413" i="5"/>
  <c r="I415" i="5"/>
  <c r="I417" i="5"/>
  <c r="I419" i="5"/>
  <c r="I421" i="5"/>
  <c r="I423" i="5"/>
  <c r="I425" i="5"/>
  <c r="I427" i="5"/>
  <c r="I429" i="5"/>
  <c r="I431" i="5"/>
  <c r="I433" i="5"/>
  <c r="I435" i="5"/>
  <c r="I437" i="5"/>
  <c r="I439" i="5"/>
  <c r="I441" i="5"/>
  <c r="I443" i="5"/>
  <c r="I445" i="5"/>
  <c r="I398" i="5"/>
  <c r="I396" i="5"/>
  <c r="L396" i="5" s="1"/>
  <c r="K446" i="5"/>
  <c r="H407" i="5"/>
  <c r="G398" i="5"/>
  <c r="J396" i="5"/>
  <c r="E393" i="5"/>
  <c r="F393" i="5"/>
  <c r="E394" i="5"/>
  <c r="F394" i="5"/>
  <c r="K445" i="5" l="1"/>
  <c r="H406" i="5"/>
  <c r="G397" i="5"/>
  <c r="J445" i="5"/>
  <c r="L445" i="5"/>
  <c r="J441" i="5"/>
  <c r="L441" i="5"/>
  <c r="J437" i="5"/>
  <c r="L437" i="5"/>
  <c r="J433" i="5"/>
  <c r="L433" i="5"/>
  <c r="L429" i="5"/>
  <c r="J429" i="5"/>
  <c r="J425" i="5"/>
  <c r="L425" i="5"/>
  <c r="L421" i="5"/>
  <c r="J421" i="5"/>
  <c r="J417" i="5"/>
  <c r="L417" i="5"/>
  <c r="J413" i="5"/>
  <c r="L413" i="5"/>
  <c r="J409" i="5"/>
  <c r="L409" i="5"/>
  <c r="J405" i="5"/>
  <c r="L405" i="5"/>
  <c r="J401" i="5"/>
  <c r="L401" i="5"/>
  <c r="L446" i="5"/>
  <c r="J446" i="5"/>
  <c r="J442" i="5"/>
  <c r="L442" i="5"/>
  <c r="J438" i="5"/>
  <c r="L438" i="5"/>
  <c r="J434" i="5"/>
  <c r="L434" i="5"/>
  <c r="J430" i="5"/>
  <c r="L430" i="5"/>
  <c r="J426" i="5"/>
  <c r="L426" i="5"/>
  <c r="L422" i="5"/>
  <c r="J422" i="5"/>
  <c r="L418" i="5"/>
  <c r="J418" i="5"/>
  <c r="L414" i="5"/>
  <c r="J414" i="5"/>
  <c r="J410" i="5"/>
  <c r="L410" i="5"/>
  <c r="J406" i="5"/>
  <c r="L406" i="5"/>
  <c r="J402" i="5"/>
  <c r="L402" i="5"/>
  <c r="K444" i="5"/>
  <c r="H405" i="5"/>
  <c r="G396" i="5"/>
  <c r="L398" i="5"/>
  <c r="J398" i="5"/>
  <c r="J443" i="5"/>
  <c r="L443" i="5"/>
  <c r="J439" i="5"/>
  <c r="L439" i="5"/>
  <c r="J435" i="5"/>
  <c r="L435" i="5"/>
  <c r="L431" i="5"/>
  <c r="J431" i="5"/>
  <c r="J427" i="5"/>
  <c r="L427" i="5"/>
  <c r="L423" i="5"/>
  <c r="J423" i="5"/>
  <c r="L419" i="5"/>
  <c r="J419" i="5"/>
  <c r="L415" i="5"/>
  <c r="J415" i="5"/>
  <c r="J411" i="5"/>
  <c r="L411" i="5"/>
  <c r="J407" i="5"/>
  <c r="L407" i="5"/>
  <c r="J403" i="5"/>
  <c r="L403" i="5"/>
  <c r="L399" i="5"/>
  <c r="J399" i="5"/>
  <c r="J397" i="5"/>
  <c r="L397" i="5"/>
  <c r="J444" i="5"/>
  <c r="L444" i="5"/>
  <c r="J440" i="5"/>
  <c r="L440" i="5"/>
  <c r="J436" i="5"/>
  <c r="L436" i="5"/>
  <c r="J432" i="5"/>
  <c r="L432" i="5"/>
  <c r="J428" i="5"/>
  <c r="L428" i="5"/>
  <c r="J424" i="5"/>
  <c r="L424" i="5"/>
  <c r="L420" i="5"/>
  <c r="J420" i="5"/>
  <c r="L416" i="5"/>
  <c r="J416" i="5"/>
  <c r="L412" i="5"/>
  <c r="J412" i="5"/>
  <c r="J408" i="5"/>
  <c r="L408" i="5"/>
  <c r="J404" i="5"/>
  <c r="L404" i="5"/>
  <c r="J400" i="5"/>
  <c r="L400" i="5"/>
  <c r="J395" i="5"/>
  <c r="L395" i="5"/>
  <c r="E392" i="5"/>
  <c r="F392" i="5"/>
  <c r="K443" i="5" l="1"/>
  <c r="H404" i="5"/>
  <c r="G395" i="5"/>
  <c r="E391" i="5"/>
  <c r="F391" i="5"/>
  <c r="K442" i="5" l="1"/>
  <c r="H403" i="5"/>
  <c r="G394" i="5"/>
  <c r="E390" i="5"/>
  <c r="F390" i="5"/>
  <c r="K441" i="5" l="1"/>
  <c r="H402" i="5"/>
  <c r="G393" i="5"/>
  <c r="E389" i="5"/>
  <c r="F389" i="5"/>
  <c r="K440" i="5" l="1"/>
  <c r="H401" i="5"/>
  <c r="G392" i="5"/>
  <c r="E388" i="5"/>
  <c r="F388" i="5"/>
  <c r="K439" i="5" l="1"/>
  <c r="H400" i="5"/>
  <c r="G391" i="5"/>
  <c r="E387" i="5"/>
  <c r="F387" i="5"/>
  <c r="K438" i="5" l="1"/>
  <c r="H399" i="5"/>
  <c r="G390" i="5"/>
  <c r="E386" i="5"/>
  <c r="F386" i="5"/>
  <c r="K437" i="5" l="1"/>
  <c r="H398" i="5"/>
  <c r="G389" i="5"/>
  <c r="E385" i="5"/>
  <c r="F385" i="5"/>
  <c r="K436" i="5" l="1"/>
  <c r="H397" i="5"/>
  <c r="G388" i="5"/>
  <c r="E384" i="5"/>
  <c r="F384" i="5"/>
  <c r="K435" i="5" l="1"/>
  <c r="H396" i="5"/>
  <c r="G387" i="5"/>
  <c r="E383" i="5"/>
  <c r="F383" i="5"/>
  <c r="K434" i="5" l="1"/>
  <c r="H395" i="5"/>
  <c r="G386" i="5"/>
  <c r="E382" i="5"/>
  <c r="F382" i="5"/>
  <c r="K433" i="5" l="1"/>
  <c r="H394" i="5"/>
  <c r="G385" i="5"/>
  <c r="E381" i="5"/>
  <c r="F381" i="5"/>
  <c r="K432" i="5" l="1"/>
  <c r="H393" i="5"/>
  <c r="G384" i="5"/>
  <c r="E380" i="5"/>
  <c r="F380" i="5"/>
  <c r="K431" i="5" l="1"/>
  <c r="H392" i="5"/>
  <c r="G383" i="5"/>
  <c r="E379" i="5"/>
  <c r="F379" i="5"/>
  <c r="K430" i="5" l="1"/>
  <c r="H391" i="5"/>
  <c r="G382" i="5"/>
  <c r="E378" i="5"/>
  <c r="F378" i="5"/>
  <c r="K429" i="5" l="1"/>
  <c r="H390" i="5"/>
  <c r="G381" i="5"/>
  <c r="E377" i="5"/>
  <c r="F377" i="5"/>
  <c r="K428" i="5" l="1"/>
  <c r="H389" i="5"/>
  <c r="G380" i="5"/>
  <c r="E376" i="5"/>
  <c r="F376" i="5"/>
  <c r="K427" i="5" l="1"/>
  <c r="H388" i="5"/>
  <c r="G379" i="5"/>
  <c r="E375" i="5"/>
  <c r="F375" i="5"/>
  <c r="K426" i="5" l="1"/>
  <c r="H387" i="5"/>
  <c r="G378" i="5"/>
  <c r="E374" i="5"/>
  <c r="F374" i="5"/>
  <c r="K425" i="5" l="1"/>
  <c r="H386" i="5"/>
  <c r="G377" i="5"/>
  <c r="E373" i="5"/>
  <c r="F373" i="5"/>
  <c r="K424" i="5" l="1"/>
  <c r="H385" i="5"/>
  <c r="G376" i="5"/>
  <c r="E371" i="5"/>
  <c r="F371" i="5"/>
  <c r="E372" i="5"/>
  <c r="F372" i="5"/>
  <c r="K423" i="5" l="1"/>
  <c r="H384" i="5"/>
  <c r="G375" i="5"/>
  <c r="K422" i="5"/>
  <c r="H383" i="5"/>
  <c r="G374" i="5"/>
  <c r="E370" i="5"/>
  <c r="F370" i="5"/>
  <c r="K421" i="5" l="1"/>
  <c r="H382" i="5"/>
  <c r="G373" i="5"/>
  <c r="E369" i="5"/>
  <c r="F369" i="5"/>
  <c r="K420" i="5" l="1"/>
  <c r="H381" i="5"/>
  <c r="G372" i="5"/>
  <c r="E368" i="5"/>
  <c r="F368" i="5"/>
  <c r="K419" i="5" l="1"/>
  <c r="H380" i="5"/>
  <c r="G371" i="5"/>
  <c r="E367" i="5"/>
  <c r="F367" i="5"/>
  <c r="K418" i="5" l="1"/>
  <c r="H379" i="5"/>
  <c r="G370" i="5"/>
  <c r="E366" i="5"/>
  <c r="F366" i="5"/>
  <c r="K417" i="5" l="1"/>
  <c r="H378" i="5"/>
  <c r="G369" i="5"/>
  <c r="E365" i="5"/>
  <c r="F365" i="5"/>
  <c r="K416" i="5" l="1"/>
  <c r="H377" i="5"/>
  <c r="G368" i="5"/>
  <c r="E364" i="5"/>
  <c r="F364" i="5"/>
  <c r="K415" i="5" l="1"/>
  <c r="H376" i="5"/>
  <c r="G367" i="5"/>
  <c r="E363" i="5"/>
  <c r="F363" i="5"/>
  <c r="K414" i="5" l="1"/>
  <c r="H375" i="5"/>
  <c r="G366" i="5"/>
  <c r="E362" i="5"/>
  <c r="F362" i="5"/>
  <c r="K413" i="5" l="1"/>
  <c r="H374" i="5"/>
  <c r="G365" i="5"/>
  <c r="E361" i="5"/>
  <c r="F361" i="5"/>
  <c r="K412" i="5" l="1"/>
  <c r="H373" i="5"/>
  <c r="G364" i="5"/>
  <c r="E360" i="5"/>
  <c r="F360" i="5"/>
  <c r="K411" i="5" l="1"/>
  <c r="H372" i="5"/>
  <c r="G363" i="5"/>
  <c r="E358" i="5"/>
  <c r="F358" i="5"/>
  <c r="E359" i="5"/>
  <c r="F359" i="5"/>
  <c r="K410" i="5" l="1"/>
  <c r="H371" i="5"/>
  <c r="G362" i="5"/>
  <c r="K409" i="5"/>
  <c r="H370" i="5"/>
  <c r="G361" i="5"/>
  <c r="E357" i="5"/>
  <c r="F357" i="5"/>
  <c r="K408" i="5" l="1"/>
  <c r="H369" i="5"/>
  <c r="G360" i="5"/>
  <c r="E356" i="5"/>
  <c r="F356" i="5"/>
  <c r="K407" i="5" l="1"/>
  <c r="H368" i="5"/>
  <c r="G359" i="5"/>
  <c r="E355" i="5"/>
  <c r="F355" i="5"/>
  <c r="K406" i="5" l="1"/>
  <c r="H367" i="5"/>
  <c r="G358" i="5"/>
  <c r="E354" i="5"/>
  <c r="F354" i="5"/>
  <c r="K405" i="5" l="1"/>
  <c r="H366" i="5"/>
  <c r="G357" i="5"/>
  <c r="F353" i="5"/>
  <c r="E353" i="5"/>
  <c r="K404" i="5" l="1"/>
  <c r="H365" i="5"/>
  <c r="G356" i="5"/>
  <c r="E352" i="5"/>
  <c r="F352" i="5"/>
  <c r="K403" i="5" l="1"/>
  <c r="H364" i="5"/>
  <c r="G355" i="5"/>
  <c r="E351" i="5"/>
  <c r="F351" i="5"/>
  <c r="K402" i="5" l="1"/>
  <c r="H363" i="5"/>
  <c r="G354" i="5"/>
  <c r="E350" i="5"/>
  <c r="F350" i="5"/>
  <c r="K401" i="5" l="1"/>
  <c r="H362" i="5"/>
  <c r="G353" i="5"/>
  <c r="E349" i="5"/>
  <c r="F349" i="5"/>
  <c r="K400" i="5" l="1"/>
  <c r="H361" i="5"/>
  <c r="G352" i="5"/>
  <c r="E348" i="5"/>
  <c r="F348" i="5"/>
  <c r="K399" i="5" l="1"/>
  <c r="H360" i="5"/>
  <c r="G351" i="5"/>
  <c r="E347" i="5"/>
  <c r="F347" i="5"/>
  <c r="K398" i="5" l="1"/>
  <c r="H359" i="5"/>
  <c r="G350" i="5"/>
  <c r="E346" i="5"/>
  <c r="F346" i="5"/>
  <c r="K397" i="5" l="1"/>
  <c r="H358" i="5"/>
  <c r="G349" i="5"/>
  <c r="E345" i="5"/>
  <c r="F345" i="5"/>
  <c r="K396" i="5" l="1"/>
  <c r="H357" i="5"/>
  <c r="G348" i="5"/>
  <c r="AD35" i="8"/>
  <c r="AD34" i="8"/>
  <c r="AD33" i="8"/>
  <c r="AD32" i="8"/>
  <c r="AD31" i="8"/>
  <c r="AD30" i="8"/>
  <c r="AD28" i="8"/>
  <c r="AD27" i="8"/>
  <c r="AD26" i="8"/>
  <c r="AD25" i="8"/>
  <c r="AD36" i="8" s="1"/>
  <c r="AD24" i="8"/>
  <c r="AA17" i="8"/>
  <c r="AA16" i="8"/>
  <c r="AA14" i="8"/>
  <c r="AD5" i="8"/>
  <c r="K18" i="6"/>
  <c r="J18" i="6"/>
  <c r="I18" i="6"/>
  <c r="H18" i="6"/>
  <c r="K15" i="6"/>
  <c r="J15" i="6"/>
  <c r="I15" i="6"/>
  <c r="H15" i="6"/>
  <c r="E15" i="6"/>
  <c r="D15" i="6"/>
  <c r="C15" i="6"/>
  <c r="B15" i="6"/>
  <c r="K14" i="6"/>
  <c r="J14" i="6"/>
  <c r="I14" i="6"/>
  <c r="H14" i="6"/>
  <c r="E14" i="6"/>
  <c r="D14" i="6"/>
  <c r="C14" i="6"/>
  <c r="B14" i="6"/>
  <c r="K13" i="6"/>
  <c r="J13" i="6"/>
  <c r="I13" i="6"/>
  <c r="H13" i="6"/>
  <c r="E13" i="6"/>
  <c r="D13" i="6"/>
  <c r="C13" i="6"/>
  <c r="B13" i="6"/>
  <c r="K12" i="6"/>
  <c r="J12" i="6"/>
  <c r="I12" i="6"/>
  <c r="H12" i="6"/>
  <c r="E12" i="6"/>
  <c r="D12" i="6"/>
  <c r="C12" i="6"/>
  <c r="B12" i="6"/>
  <c r="K11" i="6"/>
  <c r="J11" i="6"/>
  <c r="I11" i="6"/>
  <c r="H11" i="6"/>
  <c r="E11" i="6"/>
  <c r="D11" i="6"/>
  <c r="C11" i="6"/>
  <c r="B11" i="6"/>
  <c r="K10" i="6"/>
  <c r="J10" i="6"/>
  <c r="I10" i="6"/>
  <c r="H10" i="6"/>
  <c r="E10" i="6"/>
  <c r="D10" i="6"/>
  <c r="C10" i="6"/>
  <c r="B10" i="6"/>
  <c r="K9" i="6"/>
  <c r="J9" i="6"/>
  <c r="I9" i="6"/>
  <c r="H9" i="6"/>
  <c r="E9" i="6"/>
  <c r="D9" i="6"/>
  <c r="C9" i="6"/>
  <c r="B9" i="6"/>
  <c r="K8" i="6"/>
  <c r="J8" i="6"/>
  <c r="I8" i="6"/>
  <c r="H8" i="6"/>
  <c r="E8" i="6"/>
  <c r="D8" i="6"/>
  <c r="C8" i="6"/>
  <c r="B8" i="6"/>
  <c r="K7" i="6"/>
  <c r="J7" i="6"/>
  <c r="I7" i="6"/>
  <c r="H7" i="6"/>
  <c r="E7" i="6"/>
  <c r="D7" i="6"/>
  <c r="C7" i="6"/>
  <c r="B7" i="6"/>
  <c r="K6" i="6"/>
  <c r="J6" i="6"/>
  <c r="I6" i="6"/>
  <c r="H6" i="6"/>
  <c r="E6" i="6"/>
  <c r="D6" i="6"/>
  <c r="C6" i="6"/>
  <c r="B6" i="6"/>
  <c r="L5" i="6"/>
  <c r="K5" i="6"/>
  <c r="J5" i="6"/>
  <c r="I5" i="6"/>
  <c r="H5" i="6"/>
  <c r="F5" i="6"/>
  <c r="E5" i="6"/>
  <c r="D5" i="6"/>
  <c r="C5" i="6"/>
  <c r="B5" i="6"/>
  <c r="L4" i="6"/>
  <c r="L17" i="6" s="1"/>
  <c r="K4" i="6"/>
  <c r="J4" i="6"/>
  <c r="J17" i="6" s="1"/>
  <c r="I4" i="6"/>
  <c r="H4" i="6"/>
  <c r="H17" i="6" s="1"/>
  <c r="F4" i="6"/>
  <c r="E4" i="6"/>
  <c r="E17" i="6" s="1"/>
  <c r="D4" i="6"/>
  <c r="D17" i="6" s="1"/>
  <c r="C4" i="6"/>
  <c r="C17" i="6" s="1"/>
  <c r="B4" i="6"/>
  <c r="B17" i="6" s="1"/>
  <c r="F344" i="5"/>
  <c r="E344" i="5"/>
  <c r="F343" i="5"/>
  <c r="E343" i="5"/>
  <c r="F342" i="5"/>
  <c r="E342" i="5"/>
  <c r="F341" i="5"/>
  <c r="K392" i="5" s="1"/>
  <c r="E341" i="5"/>
  <c r="F340" i="5"/>
  <c r="K391" i="5" s="1"/>
  <c r="E340" i="5"/>
  <c r="F339" i="5"/>
  <c r="K390" i="5" s="1"/>
  <c r="E339" i="5"/>
  <c r="F338" i="5"/>
  <c r="K389" i="5" s="1"/>
  <c r="E338" i="5"/>
  <c r="P504" i="5"/>
  <c r="Q504" i="5" s="1"/>
  <c r="R504" i="5" s="1"/>
  <c r="F337" i="5"/>
  <c r="E337" i="5"/>
  <c r="F336" i="5"/>
  <c r="E336" i="5"/>
  <c r="F335" i="5"/>
  <c r="E335" i="5"/>
  <c r="F334" i="5"/>
  <c r="E334" i="5"/>
  <c r="F333" i="5"/>
  <c r="E333" i="5"/>
  <c r="F332" i="5"/>
  <c r="E332" i="5"/>
  <c r="P498" i="5"/>
  <c r="Q498" i="5" s="1"/>
  <c r="R498" i="5" s="1"/>
  <c r="F331" i="5"/>
  <c r="K382" i="5" s="1"/>
  <c r="E331" i="5"/>
  <c r="F330" i="5"/>
  <c r="K381" i="5" s="1"/>
  <c r="E330" i="5"/>
  <c r="F329" i="5"/>
  <c r="K380" i="5" s="1"/>
  <c r="E329" i="5"/>
  <c r="F328" i="5"/>
  <c r="E328" i="5"/>
  <c r="F327" i="5"/>
  <c r="E327" i="5"/>
  <c r="F326" i="5"/>
  <c r="E326" i="5"/>
  <c r="F325" i="5"/>
  <c r="K376" i="5" s="1"/>
  <c r="E325" i="5"/>
  <c r="F324" i="5"/>
  <c r="K375" i="5" s="1"/>
  <c r="E324" i="5"/>
  <c r="F323" i="5"/>
  <c r="K374" i="5" s="1"/>
  <c r="E323" i="5"/>
  <c r="F322" i="5"/>
  <c r="K373" i="5" s="1"/>
  <c r="E322" i="5"/>
  <c r="F321" i="5"/>
  <c r="K372" i="5" s="1"/>
  <c r="E321" i="5"/>
  <c r="F320" i="5"/>
  <c r="K371" i="5" s="1"/>
  <c r="E320" i="5"/>
  <c r="F319" i="5"/>
  <c r="E319" i="5"/>
  <c r="F318" i="5"/>
  <c r="E318" i="5"/>
  <c r="F317" i="5"/>
  <c r="K368" i="5" s="1"/>
  <c r="E317" i="5"/>
  <c r="F316" i="5"/>
  <c r="E316" i="5"/>
  <c r="F315" i="5"/>
  <c r="E315" i="5"/>
  <c r="F314" i="5"/>
  <c r="E314" i="5"/>
  <c r="F313" i="5"/>
  <c r="E313" i="5"/>
  <c r="F312" i="5"/>
  <c r="E312" i="5"/>
  <c r="F311" i="5"/>
  <c r="E311" i="5"/>
  <c r="F310" i="5"/>
  <c r="E310" i="5"/>
  <c r="F309" i="5"/>
  <c r="E309" i="5"/>
  <c r="F308" i="5"/>
  <c r="E308" i="5"/>
  <c r="F307" i="5"/>
  <c r="E307" i="5"/>
  <c r="F306" i="5"/>
  <c r="E306" i="5"/>
  <c r="F305" i="5"/>
  <c r="E305" i="5"/>
  <c r="F304" i="5"/>
  <c r="E304" i="5"/>
  <c r="F303" i="5"/>
  <c r="E303" i="5"/>
  <c r="F302" i="5"/>
  <c r="E302" i="5"/>
  <c r="F301" i="5"/>
  <c r="E301" i="5"/>
  <c r="E300" i="5"/>
  <c r="F299" i="5"/>
  <c r="E299" i="5"/>
  <c r="F298" i="5"/>
  <c r="E298" i="5"/>
  <c r="F297" i="5"/>
  <c r="E297" i="5"/>
  <c r="F296" i="5"/>
  <c r="G299" i="5" s="1"/>
  <c r="E296" i="5"/>
  <c r="F295" i="5"/>
  <c r="E295" i="5"/>
  <c r="F294" i="5"/>
  <c r="E294" i="5"/>
  <c r="F293" i="5"/>
  <c r="E293" i="5"/>
  <c r="F292" i="5"/>
  <c r="E292" i="5"/>
  <c r="F291" i="5"/>
  <c r="I291" i="5" s="1"/>
  <c r="L291" i="5" s="1"/>
  <c r="E291" i="5"/>
  <c r="F290" i="5"/>
  <c r="E290" i="5"/>
  <c r="F289" i="5"/>
  <c r="E289" i="5"/>
  <c r="F288" i="5"/>
  <c r="E288" i="5"/>
  <c r="F287" i="5"/>
  <c r="E287" i="5"/>
  <c r="F286" i="5"/>
  <c r="E286" i="5"/>
  <c r="F285" i="5"/>
  <c r="E285" i="5"/>
  <c r="F284" i="5"/>
  <c r="E284" i="5"/>
  <c r="F283" i="5"/>
  <c r="G286" i="5" s="1"/>
  <c r="E283" i="5"/>
  <c r="F282" i="5"/>
  <c r="G285" i="5" s="1"/>
  <c r="E282" i="5"/>
  <c r="F281" i="5"/>
  <c r="G284" i="5" s="1"/>
  <c r="E281" i="5"/>
  <c r="F280" i="5"/>
  <c r="G283" i="5" s="1"/>
  <c r="E280" i="5"/>
  <c r="F279" i="5"/>
  <c r="G282" i="5" s="1"/>
  <c r="E279" i="5"/>
  <c r="F278" i="5"/>
  <c r="G281" i="5" s="1"/>
  <c r="E278" i="5"/>
  <c r="F277" i="5"/>
  <c r="G280" i="5" s="1"/>
  <c r="E277" i="5"/>
  <c r="F276" i="5"/>
  <c r="G279" i="5" s="1"/>
  <c r="E276" i="5"/>
  <c r="F275" i="5"/>
  <c r="G278" i="5" s="1"/>
  <c r="E275" i="5"/>
  <c r="F274" i="5"/>
  <c r="E274" i="5"/>
  <c r="F273" i="5"/>
  <c r="E273" i="5"/>
  <c r="F272" i="5"/>
  <c r="E272" i="5"/>
  <c r="F271" i="5"/>
  <c r="E271" i="5"/>
  <c r="F270" i="5"/>
  <c r="E270" i="5"/>
  <c r="F269" i="5"/>
  <c r="E269" i="5"/>
  <c r="F268" i="5"/>
  <c r="E268" i="5"/>
  <c r="F267" i="5"/>
  <c r="E267" i="5"/>
  <c r="F266" i="5"/>
  <c r="E266" i="5"/>
  <c r="F265" i="5"/>
  <c r="E265" i="5"/>
  <c r="F264" i="5"/>
  <c r="G267" i="5" s="1"/>
  <c r="E264" i="5"/>
  <c r="E263" i="5"/>
  <c r="F262" i="5"/>
  <c r="E262" i="5"/>
  <c r="F261" i="5"/>
  <c r="E261" i="5"/>
  <c r="G260" i="5"/>
  <c r="F260" i="5"/>
  <c r="E260" i="5"/>
  <c r="F259" i="5"/>
  <c r="E259" i="5"/>
  <c r="F258" i="5"/>
  <c r="E258" i="5"/>
  <c r="F257" i="5"/>
  <c r="E257" i="5"/>
  <c r="F256" i="5"/>
  <c r="E256" i="5"/>
  <c r="F255" i="5"/>
  <c r="E255" i="5"/>
  <c r="F254" i="5"/>
  <c r="E254" i="5"/>
  <c r="F253" i="5"/>
  <c r="E253" i="5"/>
  <c r="F252" i="5"/>
  <c r="E252" i="5"/>
  <c r="F251" i="5"/>
  <c r="E251" i="5"/>
  <c r="F250" i="5"/>
  <c r="E250" i="5"/>
  <c r="D249" i="5"/>
  <c r="F249" i="5" s="1"/>
  <c r="D248" i="5"/>
  <c r="F248" i="5" s="1"/>
  <c r="F247" i="5"/>
  <c r="E247" i="5"/>
  <c r="F246" i="5"/>
  <c r="E246" i="5"/>
  <c r="F245" i="5"/>
  <c r="E245" i="5"/>
  <c r="F244" i="5"/>
  <c r="G247" i="5" s="1"/>
  <c r="E244" i="5"/>
  <c r="F243" i="5"/>
  <c r="G246" i="5" s="1"/>
  <c r="E243" i="5"/>
  <c r="F242" i="5"/>
  <c r="G245" i="5" s="1"/>
  <c r="E242" i="5"/>
  <c r="F241" i="5"/>
  <c r="G244" i="5" s="1"/>
  <c r="E241" i="5"/>
  <c r="G240" i="5"/>
  <c r="F240" i="5"/>
  <c r="E240" i="5"/>
  <c r="F239" i="5"/>
  <c r="G242" i="5" s="1"/>
  <c r="E239" i="5"/>
  <c r="F238" i="5"/>
  <c r="E238" i="5"/>
  <c r="F237" i="5"/>
  <c r="E237" i="5"/>
  <c r="F236" i="5"/>
  <c r="G239" i="5" s="1"/>
  <c r="E236" i="5"/>
  <c r="F235" i="5"/>
  <c r="E235" i="5"/>
  <c r="F234" i="5"/>
  <c r="G237" i="5" s="1"/>
  <c r="E234" i="5"/>
  <c r="F233" i="5"/>
  <c r="G236" i="5" s="1"/>
  <c r="E233" i="5"/>
  <c r="F232" i="5"/>
  <c r="G235" i="5" s="1"/>
  <c r="E232" i="5"/>
  <c r="F231" i="5"/>
  <c r="G234" i="5" s="1"/>
  <c r="E231" i="5"/>
  <c r="F230" i="5"/>
  <c r="G233" i="5" s="1"/>
  <c r="E230" i="5"/>
  <c r="F229" i="5"/>
  <c r="G232" i="5" s="1"/>
  <c r="E229" i="5"/>
  <c r="F228" i="5"/>
  <c r="G231" i="5" s="1"/>
  <c r="E228" i="5"/>
  <c r="F227" i="5"/>
  <c r="G230" i="5" s="1"/>
  <c r="E227" i="5"/>
  <c r="F226" i="5"/>
  <c r="G229" i="5" s="1"/>
  <c r="E226" i="5"/>
  <c r="F225" i="5"/>
  <c r="G228" i="5" s="1"/>
  <c r="E225" i="5"/>
  <c r="F224" i="5"/>
  <c r="E224" i="5"/>
  <c r="F223" i="5"/>
  <c r="E223" i="5"/>
  <c r="F222" i="5"/>
  <c r="E222" i="5"/>
  <c r="F221" i="5"/>
  <c r="E221" i="5"/>
  <c r="F220" i="5"/>
  <c r="E220" i="5"/>
  <c r="F219" i="5"/>
  <c r="E219" i="5"/>
  <c r="F218" i="5"/>
  <c r="E218" i="5"/>
  <c r="F217" i="5"/>
  <c r="E217" i="5"/>
  <c r="F216" i="5"/>
  <c r="E216" i="5"/>
  <c r="F215" i="5"/>
  <c r="E215" i="5"/>
  <c r="F214" i="5"/>
  <c r="E214" i="5"/>
  <c r="F213" i="5"/>
  <c r="E213" i="5"/>
  <c r="F212" i="5"/>
  <c r="E212" i="5"/>
  <c r="F211" i="5"/>
  <c r="E211" i="5"/>
  <c r="F210" i="5"/>
  <c r="E210" i="5"/>
  <c r="D209" i="5"/>
  <c r="F209" i="5" s="1"/>
  <c r="F208" i="5"/>
  <c r="E208" i="5"/>
  <c r="F207" i="5"/>
  <c r="E207" i="5"/>
  <c r="F206" i="5"/>
  <c r="E206" i="5"/>
  <c r="F205" i="5"/>
  <c r="E205" i="5"/>
  <c r="F204" i="5"/>
  <c r="E204" i="5"/>
  <c r="F203" i="5"/>
  <c r="E203" i="5"/>
  <c r="F202" i="5"/>
  <c r="E202" i="5"/>
  <c r="F201" i="5"/>
  <c r="E201" i="5"/>
  <c r="F200" i="5"/>
  <c r="E200" i="5"/>
  <c r="F199" i="5"/>
  <c r="E199" i="5"/>
  <c r="F198" i="5"/>
  <c r="E198" i="5"/>
  <c r="F197" i="5"/>
  <c r="E197" i="5"/>
  <c r="F196" i="5"/>
  <c r="E196" i="5"/>
  <c r="F195" i="5"/>
  <c r="E195" i="5"/>
  <c r="F194" i="5"/>
  <c r="G197" i="5" s="1"/>
  <c r="E194" i="5"/>
  <c r="F193" i="5"/>
  <c r="E193" i="5"/>
  <c r="O192" i="5"/>
  <c r="F192" i="5"/>
  <c r="E192" i="5"/>
  <c r="F191" i="5"/>
  <c r="E191" i="5"/>
  <c r="F190" i="5"/>
  <c r="E190" i="5"/>
  <c r="F189" i="5"/>
  <c r="E189" i="5"/>
  <c r="F188" i="5"/>
  <c r="G191" i="5" s="1"/>
  <c r="E188" i="5"/>
  <c r="F187" i="5"/>
  <c r="E187" i="5"/>
  <c r="F186" i="5"/>
  <c r="E186" i="5"/>
  <c r="F185" i="5"/>
  <c r="G188" i="5" s="1"/>
  <c r="E185" i="5"/>
  <c r="F184" i="5"/>
  <c r="E184" i="5"/>
  <c r="F183" i="5"/>
  <c r="E183" i="5"/>
  <c r="F182" i="5"/>
  <c r="E182" i="5"/>
  <c r="F181" i="5"/>
  <c r="E181" i="5"/>
  <c r="F180" i="5"/>
  <c r="G183" i="5" s="1"/>
  <c r="E180" i="5"/>
  <c r="F179" i="5"/>
  <c r="G182" i="5" s="1"/>
  <c r="E179" i="5"/>
  <c r="F178" i="5"/>
  <c r="G181" i="5" s="1"/>
  <c r="E178" i="5"/>
  <c r="F177" i="5"/>
  <c r="G180" i="5" s="1"/>
  <c r="E177" i="5"/>
  <c r="F176" i="5"/>
  <c r="G179" i="5" s="1"/>
  <c r="E176" i="5"/>
  <c r="F175" i="5"/>
  <c r="G178" i="5" s="1"/>
  <c r="E175" i="5"/>
  <c r="F174" i="5"/>
  <c r="G177" i="5" s="1"/>
  <c r="E174" i="5"/>
  <c r="F173" i="5"/>
  <c r="G176" i="5" s="1"/>
  <c r="E173" i="5"/>
  <c r="F172" i="5"/>
  <c r="E172" i="5"/>
  <c r="F171" i="5"/>
  <c r="G174" i="5" s="1"/>
  <c r="E171" i="5"/>
  <c r="F170" i="5"/>
  <c r="E170" i="5"/>
  <c r="F169" i="5"/>
  <c r="E169" i="5"/>
  <c r="F168" i="5"/>
  <c r="E168" i="5"/>
  <c r="F167" i="5"/>
  <c r="E167" i="5"/>
  <c r="F166" i="5"/>
  <c r="E166" i="5"/>
  <c r="F165" i="5"/>
  <c r="E165" i="5"/>
  <c r="F164" i="5"/>
  <c r="E164" i="5"/>
  <c r="F163" i="5"/>
  <c r="E163" i="5"/>
  <c r="F162" i="5"/>
  <c r="E162" i="5"/>
  <c r="F161" i="5"/>
  <c r="E161" i="5"/>
  <c r="F160" i="5"/>
  <c r="E160" i="5"/>
  <c r="F159" i="5"/>
  <c r="E159" i="5"/>
  <c r="F158" i="5"/>
  <c r="E158" i="5"/>
  <c r="F157" i="5"/>
  <c r="E157" i="5"/>
  <c r="F156" i="5"/>
  <c r="E156" i="5"/>
  <c r="F155" i="5"/>
  <c r="E155" i="5"/>
  <c r="F154" i="5"/>
  <c r="E154" i="5"/>
  <c r="F153" i="5"/>
  <c r="E153" i="5"/>
  <c r="F152" i="5"/>
  <c r="E152" i="5"/>
  <c r="D151" i="5"/>
  <c r="F151" i="5" s="1"/>
  <c r="F150" i="5"/>
  <c r="E150" i="5"/>
  <c r="F149" i="5"/>
  <c r="E149" i="5"/>
  <c r="F148" i="5"/>
  <c r="E148" i="5"/>
  <c r="F147" i="5"/>
  <c r="E147" i="5"/>
  <c r="F146" i="5"/>
  <c r="E146" i="5"/>
  <c r="D145" i="5"/>
  <c r="F145" i="5" s="1"/>
  <c r="D144" i="5"/>
  <c r="F144" i="5" s="1"/>
  <c r="F143" i="5"/>
  <c r="E143" i="5"/>
  <c r="F142" i="5"/>
  <c r="E142" i="5"/>
  <c r="F141" i="5"/>
  <c r="E141" i="5"/>
  <c r="F140" i="5"/>
  <c r="G143" i="5" s="1"/>
  <c r="E140" i="5"/>
  <c r="F139" i="5"/>
  <c r="E139" i="5"/>
  <c r="F138" i="5"/>
  <c r="E138" i="5"/>
  <c r="F137" i="5"/>
  <c r="E137" i="5"/>
  <c r="F136" i="5"/>
  <c r="G139" i="5" s="1"/>
  <c r="E136" i="5"/>
  <c r="I135" i="5"/>
  <c r="L135" i="5" s="1"/>
  <c r="F135" i="5"/>
  <c r="E135" i="5"/>
  <c r="F134" i="5"/>
  <c r="E134" i="5"/>
  <c r="F133" i="5"/>
  <c r="E133" i="5"/>
  <c r="F132" i="5"/>
  <c r="E132" i="5"/>
  <c r="F131" i="5"/>
  <c r="G134" i="5" s="1"/>
  <c r="E131" i="5"/>
  <c r="F130" i="5"/>
  <c r="E130" i="5"/>
  <c r="F129" i="5"/>
  <c r="G132" i="5" s="1"/>
  <c r="E129" i="5"/>
  <c r="F128" i="5"/>
  <c r="E128" i="5"/>
  <c r="F127" i="5"/>
  <c r="G130" i="5" s="1"/>
  <c r="E127" i="5"/>
  <c r="F126" i="5"/>
  <c r="K177" i="5" s="1"/>
  <c r="E126" i="5"/>
  <c r="F125" i="5"/>
  <c r="E125" i="5"/>
  <c r="F124" i="5"/>
  <c r="E124" i="5"/>
  <c r="F123" i="5"/>
  <c r="G126" i="5" s="1"/>
  <c r="E123" i="5"/>
  <c r="F122" i="5"/>
  <c r="K173" i="5" s="1"/>
  <c r="E122" i="5"/>
  <c r="F121" i="5"/>
  <c r="E121" i="5"/>
  <c r="F120" i="5"/>
  <c r="E120" i="5"/>
  <c r="F119" i="5"/>
  <c r="G122" i="5" s="1"/>
  <c r="E119" i="5"/>
  <c r="F118" i="5"/>
  <c r="K169" i="5" s="1"/>
  <c r="E118" i="5"/>
  <c r="F117" i="5"/>
  <c r="E117" i="5"/>
  <c r="F116" i="5"/>
  <c r="E116" i="5"/>
  <c r="F115" i="5"/>
  <c r="G118" i="5" s="1"/>
  <c r="E115" i="5"/>
  <c r="F114" i="5"/>
  <c r="K165" i="5" s="1"/>
  <c r="E114" i="5"/>
  <c r="F113" i="5"/>
  <c r="E113" i="5"/>
  <c r="F112" i="5"/>
  <c r="K163" i="5" s="1"/>
  <c r="E112" i="5"/>
  <c r="F111" i="5"/>
  <c r="F110" i="5"/>
  <c r="E110" i="5"/>
  <c r="F109" i="5"/>
  <c r="E109" i="5"/>
  <c r="F108" i="5"/>
  <c r="E108" i="5"/>
  <c r="F107" i="5"/>
  <c r="F106" i="5"/>
  <c r="K157" i="5" s="1"/>
  <c r="F105" i="5"/>
  <c r="F104" i="5"/>
  <c r="K155" i="5" s="1"/>
  <c r="F103" i="5"/>
  <c r="F102" i="5"/>
  <c r="K153" i="5" s="1"/>
  <c r="F101" i="5"/>
  <c r="F100" i="5"/>
  <c r="K151" i="5" s="1"/>
  <c r="F99" i="5"/>
  <c r="F98" i="5"/>
  <c r="K149" i="5" s="1"/>
  <c r="F97" i="5"/>
  <c r="F96" i="5"/>
  <c r="K147" i="5" s="1"/>
  <c r="D95" i="5"/>
  <c r="F95" i="5" s="1"/>
  <c r="F94" i="5"/>
  <c r="F93" i="5"/>
  <c r="F92" i="5"/>
  <c r="F91" i="5"/>
  <c r="F90" i="5"/>
  <c r="G93" i="5" s="1"/>
  <c r="F89" i="5"/>
  <c r="F88" i="5"/>
  <c r="G91" i="5" s="1"/>
  <c r="F87" i="5"/>
  <c r="F86" i="5"/>
  <c r="G89" i="5" s="1"/>
  <c r="F85" i="5"/>
  <c r="F84" i="5"/>
  <c r="F83" i="5"/>
  <c r="I83" i="5" s="1"/>
  <c r="L83" i="5" s="1"/>
  <c r="F82" i="5"/>
  <c r="D81" i="5"/>
  <c r="F81" i="5" s="1"/>
  <c r="F80" i="5"/>
  <c r="F79" i="5"/>
  <c r="G81" i="5" s="1"/>
  <c r="F78" i="5"/>
  <c r="F77" i="5"/>
  <c r="G80" i="5" s="1"/>
  <c r="F76" i="5"/>
  <c r="D75" i="5"/>
  <c r="F75" i="5" s="1"/>
  <c r="F74" i="5"/>
  <c r="F73" i="5"/>
  <c r="G76" i="5" s="1"/>
  <c r="F72" i="5"/>
  <c r="F71" i="5"/>
  <c r="F70" i="5"/>
  <c r="F69" i="5"/>
  <c r="F68" i="5"/>
  <c r="F67" i="5"/>
  <c r="F66" i="5"/>
  <c r="F65" i="5"/>
  <c r="H77" i="5" s="1"/>
  <c r="F64" i="5"/>
  <c r="F63" i="5"/>
  <c r="H75" i="5" s="1"/>
  <c r="F62" i="5"/>
  <c r="F61" i="5"/>
  <c r="G64" i="5" s="1"/>
  <c r="P60" i="5"/>
  <c r="P61" i="5" s="1"/>
  <c r="P62" i="5" s="1"/>
  <c r="F60" i="5"/>
  <c r="H72" i="5" s="1"/>
  <c r="F59" i="5"/>
  <c r="F58" i="5"/>
  <c r="H70" i="5" s="1"/>
  <c r="F57" i="5"/>
  <c r="F56" i="5"/>
  <c r="H68" i="5" s="1"/>
  <c r="F55" i="5"/>
  <c r="F54" i="5"/>
  <c r="F53" i="5"/>
  <c r="F52" i="5"/>
  <c r="G55" i="5" s="1"/>
  <c r="F51" i="5"/>
  <c r="G54" i="5" s="1"/>
  <c r="F50" i="5"/>
  <c r="F49" i="5"/>
  <c r="F48" i="5"/>
  <c r="G51" i="5" s="1"/>
  <c r="F47" i="5"/>
  <c r="G50" i="5" s="1"/>
  <c r="F46" i="5"/>
  <c r="F45" i="5"/>
  <c r="F44" i="5"/>
  <c r="G47" i="5" s="1"/>
  <c r="F43" i="5"/>
  <c r="G46" i="5" s="1"/>
  <c r="F42" i="5"/>
  <c r="F41" i="5"/>
  <c r="F40" i="5"/>
  <c r="G43" i="5" s="1"/>
  <c r="F39" i="5"/>
  <c r="G42" i="5" s="1"/>
  <c r="F38" i="5"/>
  <c r="F37" i="5"/>
  <c r="F36" i="5"/>
  <c r="G39" i="5" s="1"/>
  <c r="F35" i="5"/>
  <c r="F34" i="5"/>
  <c r="G37" i="5" s="1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M4" i="5" s="1"/>
  <c r="M5" i="5" s="1"/>
  <c r="M6" i="5" s="1"/>
  <c r="M7" i="5" s="1"/>
  <c r="M8" i="5" s="1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M105" i="5" s="1"/>
  <c r="M106" i="5" s="1"/>
  <c r="M107" i="5" s="1"/>
  <c r="M108" i="5" s="1"/>
  <c r="M109" i="5" s="1"/>
  <c r="M110" i="5" s="1"/>
  <c r="M111" i="5" s="1"/>
  <c r="M112" i="5" s="1"/>
  <c r="M113" i="5" s="1"/>
  <c r="M114" i="5" s="1"/>
  <c r="M115" i="5" s="1"/>
  <c r="M116" i="5" s="1"/>
  <c r="M117" i="5" s="1"/>
  <c r="M118" i="5" s="1"/>
  <c r="M119" i="5" s="1"/>
  <c r="M120" i="5" s="1"/>
  <c r="M121" i="5" s="1"/>
  <c r="M122" i="5" s="1"/>
  <c r="M123" i="5" s="1"/>
  <c r="M124" i="5" s="1"/>
  <c r="M125" i="5" s="1"/>
  <c r="M126" i="5" s="1"/>
  <c r="M127" i="5" s="1"/>
  <c r="M128" i="5" s="1"/>
  <c r="M129" i="5" s="1"/>
  <c r="M130" i="5" s="1"/>
  <c r="M131" i="5" s="1"/>
  <c r="M132" i="5" s="1"/>
  <c r="M133" i="5" s="1"/>
  <c r="M134" i="5" s="1"/>
  <c r="M135" i="5" s="1"/>
  <c r="M136" i="5" s="1"/>
  <c r="M137" i="5" s="1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7" i="5" s="1"/>
  <c r="M238" i="5" s="1"/>
  <c r="M239" i="5" s="1"/>
  <c r="M240" i="5" s="1"/>
  <c r="M241" i="5" s="1"/>
  <c r="M242" i="5" s="1"/>
  <c r="M243" i="5" s="1"/>
  <c r="M244" i="5" s="1"/>
  <c r="M245" i="5" s="1"/>
  <c r="M246" i="5" s="1"/>
  <c r="M247" i="5" s="1"/>
  <c r="M248" i="5" s="1"/>
  <c r="M249" i="5" s="1"/>
  <c r="M250" i="5" s="1"/>
  <c r="M251" i="5" s="1"/>
  <c r="M252" i="5" s="1"/>
  <c r="M253" i="5" s="1"/>
  <c r="M254" i="5" s="1"/>
  <c r="M255" i="5" s="1"/>
  <c r="M256" i="5" s="1"/>
  <c r="M257" i="5" s="1"/>
  <c r="M258" i="5" s="1"/>
  <c r="M259" i="5" s="1"/>
  <c r="M260" i="5" s="1"/>
  <c r="M261" i="5" s="1"/>
  <c r="M262" i="5" s="1"/>
  <c r="M263" i="5" s="1"/>
  <c r="M264" i="5" s="1"/>
  <c r="M265" i="5" s="1"/>
  <c r="M266" i="5" s="1"/>
  <c r="M267" i="5" s="1"/>
  <c r="M268" i="5" s="1"/>
  <c r="M269" i="5" s="1"/>
  <c r="M270" i="5" s="1"/>
  <c r="M271" i="5" s="1"/>
  <c r="M272" i="5" s="1"/>
  <c r="M273" i="5" s="1"/>
  <c r="M274" i="5" s="1"/>
  <c r="M275" i="5" s="1"/>
  <c r="M276" i="5" s="1"/>
  <c r="M277" i="5" s="1"/>
  <c r="M278" i="5" s="1"/>
  <c r="M279" i="5" s="1"/>
  <c r="M280" i="5" s="1"/>
  <c r="M281" i="5" s="1"/>
  <c r="M282" i="5" s="1"/>
  <c r="M283" i="5" s="1"/>
  <c r="M284" i="5" s="1"/>
  <c r="M285" i="5" s="1"/>
  <c r="M286" i="5" s="1"/>
  <c r="M287" i="5" s="1"/>
  <c r="M288" i="5" s="1"/>
  <c r="M289" i="5" s="1"/>
  <c r="M290" i="5" s="1"/>
  <c r="M291" i="5" s="1"/>
  <c r="M292" i="5" s="1"/>
  <c r="M293" i="5" s="1"/>
  <c r="M294" i="5" s="1"/>
  <c r="M295" i="5" s="1"/>
  <c r="M296" i="5" s="1"/>
  <c r="M297" i="5" s="1"/>
  <c r="M298" i="5" s="1"/>
  <c r="M299" i="5" s="1"/>
  <c r="M300" i="5" s="1"/>
  <c r="M301" i="5" s="1"/>
  <c r="M302" i="5" s="1"/>
  <c r="M303" i="5" s="1"/>
  <c r="M304" i="5" s="1"/>
  <c r="M305" i="5" s="1"/>
  <c r="M306" i="5" s="1"/>
  <c r="M307" i="5" s="1"/>
  <c r="M308" i="5" s="1"/>
  <c r="M309" i="5" s="1"/>
  <c r="M310" i="5" s="1"/>
  <c r="M311" i="5" s="1"/>
  <c r="M312" i="5" s="1"/>
  <c r="M313" i="5" s="1"/>
  <c r="M314" i="5" s="1"/>
  <c r="M315" i="5" s="1"/>
  <c r="M316" i="5" s="1"/>
  <c r="M317" i="5" s="1"/>
  <c r="M318" i="5" s="1"/>
  <c r="M319" i="5" s="1"/>
  <c r="M320" i="5" s="1"/>
  <c r="M321" i="5" s="1"/>
  <c r="M322" i="5" s="1"/>
  <c r="M323" i="5" s="1"/>
  <c r="M324" i="5" s="1"/>
  <c r="M325" i="5" s="1"/>
  <c r="M326" i="5" s="1"/>
  <c r="M327" i="5" s="1"/>
  <c r="M328" i="5" s="1"/>
  <c r="M329" i="5" s="1"/>
  <c r="M330" i="5" s="1"/>
  <c r="M331" i="5" s="1"/>
  <c r="M332" i="5" s="1"/>
  <c r="M333" i="5" s="1"/>
  <c r="M334" i="5" s="1"/>
  <c r="M335" i="5" s="1"/>
  <c r="M336" i="5" s="1"/>
  <c r="M337" i="5" s="1"/>
  <c r="M338" i="5" s="1"/>
  <c r="M339" i="5" s="1"/>
  <c r="M340" i="5" s="1"/>
  <c r="M341" i="5" s="1"/>
  <c r="M342" i="5" s="1"/>
  <c r="M343" i="5" s="1"/>
  <c r="M344" i="5" s="1"/>
  <c r="M345" i="5" s="1"/>
  <c r="M346" i="5" s="1"/>
  <c r="M347" i="5" s="1"/>
  <c r="M348" i="5" s="1"/>
  <c r="M349" i="5" s="1"/>
  <c r="M350" i="5" s="1"/>
  <c r="M351" i="5" s="1"/>
  <c r="M352" i="5" s="1"/>
  <c r="M353" i="5" s="1"/>
  <c r="M354" i="5" s="1"/>
  <c r="M355" i="5" s="1"/>
  <c r="M356" i="5" s="1"/>
  <c r="M357" i="5" s="1"/>
  <c r="M358" i="5" s="1"/>
  <c r="M359" i="5" s="1"/>
  <c r="M360" i="5" s="1"/>
  <c r="M361" i="5" s="1"/>
  <c r="M362" i="5" s="1"/>
  <c r="M363" i="5" s="1"/>
  <c r="M364" i="5" s="1"/>
  <c r="M365" i="5" s="1"/>
  <c r="M366" i="5" s="1"/>
  <c r="M367" i="5" s="1"/>
  <c r="M368" i="5" s="1"/>
  <c r="M369" i="5" s="1"/>
  <c r="M370" i="5" s="1"/>
  <c r="M371" i="5" s="1"/>
  <c r="M372" i="5" s="1"/>
  <c r="M373" i="5" s="1"/>
  <c r="M374" i="5" s="1"/>
  <c r="M375" i="5" s="1"/>
  <c r="M376" i="5" s="1"/>
  <c r="M377" i="5" s="1"/>
  <c r="M378" i="5" s="1"/>
  <c r="M379" i="5" s="1"/>
  <c r="M380" i="5" s="1"/>
  <c r="M381" i="5" s="1"/>
  <c r="M382" i="5" s="1"/>
  <c r="M383" i="5" s="1"/>
  <c r="M384" i="5" s="1"/>
  <c r="M385" i="5" s="1"/>
  <c r="M386" i="5" s="1"/>
  <c r="M387" i="5" s="1"/>
  <c r="M388" i="5" s="1"/>
  <c r="M389" i="5" s="1"/>
  <c r="M390" i="5" s="1"/>
  <c r="M391" i="5" s="1"/>
  <c r="M392" i="5" s="1"/>
  <c r="M393" i="5" s="1"/>
  <c r="M394" i="5" s="1"/>
  <c r="M395" i="5" s="1"/>
  <c r="M396" i="5" s="1"/>
  <c r="M397" i="5" s="1"/>
  <c r="M398" i="5" s="1"/>
  <c r="M399" i="5" s="1"/>
  <c r="M400" i="5" s="1"/>
  <c r="M401" i="5" s="1"/>
  <c r="M402" i="5" s="1"/>
  <c r="M403" i="5" s="1"/>
  <c r="M404" i="5" s="1"/>
  <c r="M405" i="5" s="1"/>
  <c r="M406" i="5" s="1"/>
  <c r="M407" i="5" s="1"/>
  <c r="M408" i="5" s="1"/>
  <c r="M409" i="5" s="1"/>
  <c r="M410" i="5" s="1"/>
  <c r="M411" i="5" s="1"/>
  <c r="M412" i="5" s="1"/>
  <c r="M413" i="5" s="1"/>
  <c r="M414" i="5" s="1"/>
  <c r="M415" i="5" s="1"/>
  <c r="M416" i="5" s="1"/>
  <c r="M417" i="5" s="1"/>
  <c r="M418" i="5" s="1"/>
  <c r="M419" i="5" s="1"/>
  <c r="M420" i="5" s="1"/>
  <c r="M421" i="5" s="1"/>
  <c r="M422" i="5" s="1"/>
  <c r="M423" i="5" s="1"/>
  <c r="M424" i="5" s="1"/>
  <c r="M425" i="5" s="1"/>
  <c r="M426" i="5" s="1"/>
  <c r="M427" i="5" s="1"/>
  <c r="M428" i="5" s="1"/>
  <c r="M429" i="5" s="1"/>
  <c r="M430" i="5" s="1"/>
  <c r="M431" i="5" s="1"/>
  <c r="M432" i="5" s="1"/>
  <c r="M433" i="5" s="1"/>
  <c r="M434" i="5" s="1"/>
  <c r="M435" i="5" s="1"/>
  <c r="M436" i="5" s="1"/>
  <c r="M437" i="5" s="1"/>
  <c r="M438" i="5" s="1"/>
  <c r="M439" i="5" s="1"/>
  <c r="M440" i="5" s="1"/>
  <c r="M441" i="5" s="1"/>
  <c r="M442" i="5" s="1"/>
  <c r="M443" i="5" s="1"/>
  <c r="M444" i="5" s="1"/>
  <c r="M445" i="5" s="1"/>
  <c r="M446" i="5" s="1"/>
  <c r="M447" i="5" s="1"/>
  <c r="M448" i="5" s="1"/>
  <c r="M449" i="5" s="1"/>
  <c r="M450" i="5" s="1"/>
  <c r="M451" i="5" s="1"/>
  <c r="M452" i="5" s="1"/>
  <c r="M453" i="5" s="1"/>
  <c r="M454" i="5" s="1"/>
  <c r="M455" i="5" s="1"/>
  <c r="M456" i="5" s="1"/>
  <c r="M457" i="5" s="1"/>
  <c r="M458" i="5" s="1"/>
  <c r="M459" i="5" s="1"/>
  <c r="M460" i="5" s="1"/>
  <c r="M461" i="5" s="1"/>
  <c r="M462" i="5" s="1"/>
  <c r="M463" i="5" s="1"/>
  <c r="M464" i="5" s="1"/>
  <c r="M465" i="5" s="1"/>
  <c r="M466" i="5" s="1"/>
  <c r="M467" i="5" s="1"/>
  <c r="M468" i="5" s="1"/>
  <c r="M469" i="5" s="1"/>
  <c r="M470" i="5" s="1"/>
  <c r="M471" i="5" s="1"/>
  <c r="M472" i="5" s="1"/>
  <c r="M473" i="5" s="1"/>
  <c r="M474" i="5" s="1"/>
  <c r="M475" i="5" s="1"/>
  <c r="M476" i="5" s="1"/>
  <c r="M477" i="5" s="1"/>
  <c r="M478" i="5" s="1"/>
  <c r="M479" i="5" s="1"/>
  <c r="M480" i="5" s="1"/>
  <c r="M481" i="5" s="1"/>
  <c r="M482" i="5" s="1"/>
  <c r="M483" i="5" s="1"/>
  <c r="M484" i="5" s="1"/>
  <c r="M485" i="5" s="1"/>
  <c r="M486" i="5" s="1"/>
  <c r="M487" i="5" s="1"/>
  <c r="M488" i="5" s="1"/>
  <c r="M489" i="5" s="1"/>
  <c r="M490" i="5" s="1"/>
  <c r="M491" i="5" s="1"/>
  <c r="M492" i="5" s="1"/>
  <c r="M493" i="5" s="1"/>
  <c r="M494" i="5" s="1"/>
  <c r="M495" i="5" s="1"/>
  <c r="M496" i="5" s="1"/>
  <c r="M497" i="5" s="1"/>
  <c r="M498" i="5" s="1"/>
  <c r="M499" i="5" s="1"/>
  <c r="M500" i="5" s="1"/>
  <c r="M501" i="5" s="1"/>
  <c r="M502" i="5" s="1"/>
  <c r="M503" i="5" s="1"/>
  <c r="M504" i="5" s="1"/>
  <c r="M505" i="5" s="1"/>
  <c r="M506" i="5" s="1"/>
  <c r="D1" i="5"/>
  <c r="C1" i="5"/>
  <c r="B1" i="5"/>
  <c r="F1" i="5" s="1"/>
  <c r="F237" i="4"/>
  <c r="F233" i="4"/>
  <c r="F222" i="4"/>
  <c r="F211" i="4"/>
  <c r="F103" i="4"/>
  <c r="F82" i="4"/>
  <c r="F71" i="4"/>
  <c r="F61" i="4"/>
  <c r="F53" i="4"/>
  <c r="F42" i="4"/>
  <c r="F30" i="4"/>
  <c r="G22" i="4"/>
  <c r="F18" i="4"/>
  <c r="F8" i="4"/>
  <c r="H1" i="4"/>
  <c r="D1" i="4"/>
  <c r="C1" i="4"/>
  <c r="F296" i="3"/>
  <c r="F283" i="3"/>
  <c r="F273" i="3"/>
  <c r="F265" i="3"/>
  <c r="F257" i="3"/>
  <c r="F248" i="3"/>
  <c r="F240" i="3"/>
  <c r="F226" i="3"/>
  <c r="F214" i="3"/>
  <c r="F207" i="3"/>
  <c r="F191" i="3"/>
  <c r="F179" i="3"/>
  <c r="F168" i="3"/>
  <c r="F159" i="3"/>
  <c r="F140" i="3"/>
  <c r="F131" i="3"/>
  <c r="F123" i="3"/>
  <c r="F109" i="3"/>
  <c r="F101" i="3"/>
  <c r="F81" i="3"/>
  <c r="F70" i="3"/>
  <c r="F60" i="3"/>
  <c r="F56" i="3"/>
  <c r="F49" i="3"/>
  <c r="F37" i="3"/>
  <c r="F25" i="3"/>
  <c r="H1" i="3"/>
  <c r="D1" i="3"/>
  <c r="C1" i="3"/>
  <c r="F196" i="2"/>
  <c r="F187" i="2"/>
  <c r="F179" i="2"/>
  <c r="F168" i="2"/>
  <c r="F163" i="2"/>
  <c r="F154" i="2"/>
  <c r="F142" i="2"/>
  <c r="F136" i="2"/>
  <c r="F132" i="2"/>
  <c r="F125" i="2"/>
  <c r="F122" i="2"/>
  <c r="F116" i="2"/>
  <c r="F106" i="2"/>
  <c r="F99" i="2"/>
  <c r="F93" i="2"/>
  <c r="F89" i="2"/>
  <c r="F86" i="2"/>
  <c r="F80" i="2"/>
  <c r="F70" i="2"/>
  <c r="F59" i="2"/>
  <c r="F50" i="2"/>
  <c r="F41" i="2"/>
  <c r="F26" i="2"/>
  <c r="F13" i="2"/>
  <c r="H1" i="2"/>
  <c r="D1" i="2"/>
  <c r="C1" i="2"/>
  <c r="G232" i="1"/>
  <c r="F230" i="1"/>
  <c r="F215" i="1"/>
  <c r="F205" i="1"/>
  <c r="F193" i="1"/>
  <c r="F181" i="1"/>
  <c r="F180" i="1"/>
  <c r="F174" i="1"/>
  <c r="F167" i="1"/>
  <c r="F158" i="1"/>
  <c r="F152" i="1"/>
  <c r="F140" i="1"/>
  <c r="F132" i="1"/>
  <c r="F122" i="1"/>
  <c r="F110" i="1"/>
  <c r="F95" i="1"/>
  <c r="F89" i="1"/>
  <c r="G82" i="1"/>
  <c r="F73" i="1"/>
  <c r="F61" i="1"/>
  <c r="F52" i="1"/>
  <c r="F48" i="1"/>
  <c r="F40" i="1"/>
  <c r="F32" i="1"/>
  <c r="F23" i="1"/>
  <c r="F15" i="1"/>
  <c r="H1" i="1"/>
  <c r="D1" i="1"/>
  <c r="C1" i="1"/>
  <c r="G41" i="5" l="1"/>
  <c r="G45" i="5"/>
  <c r="G49" i="5"/>
  <c r="G53" i="5"/>
  <c r="G243" i="5"/>
  <c r="K383" i="5"/>
  <c r="G336" i="5"/>
  <c r="K384" i="5"/>
  <c r="K385" i="5"/>
  <c r="K386" i="5"/>
  <c r="K387" i="5"/>
  <c r="K388" i="5"/>
  <c r="H16" i="5"/>
  <c r="H18" i="5"/>
  <c r="K60" i="5"/>
  <c r="K62" i="5"/>
  <c r="K64" i="5"/>
  <c r="K66" i="5"/>
  <c r="K68" i="5"/>
  <c r="K70" i="5"/>
  <c r="K72" i="5"/>
  <c r="K74" i="5"/>
  <c r="K76" i="5"/>
  <c r="K78" i="5"/>
  <c r="K80" i="5"/>
  <c r="G36" i="5"/>
  <c r="G38" i="5"/>
  <c r="G40" i="5"/>
  <c r="G44" i="5"/>
  <c r="G48" i="5"/>
  <c r="G52" i="5"/>
  <c r="H90" i="5"/>
  <c r="H92" i="5"/>
  <c r="H94" i="5"/>
  <c r="G87" i="5"/>
  <c r="E145" i="5"/>
  <c r="E209" i="5"/>
  <c r="G241" i="5"/>
  <c r="E249" i="5"/>
  <c r="K304" i="5"/>
  <c r="I292" i="5"/>
  <c r="L292" i="5" s="1"/>
  <c r="I342" i="5"/>
  <c r="L342" i="5" s="1"/>
  <c r="I293" i="5"/>
  <c r="L293" i="5" s="1"/>
  <c r="H315" i="5"/>
  <c r="K354" i="5"/>
  <c r="H316" i="5"/>
  <c r="K355" i="5"/>
  <c r="H317" i="5"/>
  <c r="K356" i="5"/>
  <c r="H318" i="5"/>
  <c r="K357" i="5"/>
  <c r="H319" i="5"/>
  <c r="K358" i="5"/>
  <c r="H320" i="5"/>
  <c r="K359" i="5"/>
  <c r="H321" i="5"/>
  <c r="K360" i="5"/>
  <c r="H322" i="5"/>
  <c r="K361" i="5"/>
  <c r="H323" i="5"/>
  <c r="K362" i="5"/>
  <c r="H324" i="5"/>
  <c r="K363" i="5"/>
  <c r="H325" i="5"/>
  <c r="K364" i="5"/>
  <c r="H326" i="5"/>
  <c r="K365" i="5"/>
  <c r="H327" i="5"/>
  <c r="K366" i="5"/>
  <c r="H328" i="5"/>
  <c r="K367" i="5"/>
  <c r="G321" i="5"/>
  <c r="K369" i="5"/>
  <c r="G322" i="5"/>
  <c r="K370" i="5"/>
  <c r="G329" i="5"/>
  <c r="K377" i="5"/>
  <c r="G330" i="5"/>
  <c r="K378" i="5"/>
  <c r="G331" i="5"/>
  <c r="K379" i="5"/>
  <c r="K393" i="5"/>
  <c r="H354" i="5"/>
  <c r="G346" i="5"/>
  <c r="I345" i="5"/>
  <c r="L345" i="5" s="1"/>
  <c r="I347" i="5"/>
  <c r="L347" i="5" s="1"/>
  <c r="I349" i="5"/>
  <c r="L349" i="5" s="1"/>
  <c r="I351" i="5"/>
  <c r="L351" i="5" s="1"/>
  <c r="I353" i="5"/>
  <c r="L353" i="5" s="1"/>
  <c r="I355" i="5"/>
  <c r="I357" i="5"/>
  <c r="I359" i="5"/>
  <c r="I361" i="5"/>
  <c r="I363" i="5"/>
  <c r="I365" i="5"/>
  <c r="I367" i="5"/>
  <c r="I369" i="5"/>
  <c r="I371" i="5"/>
  <c r="I373" i="5"/>
  <c r="I375" i="5"/>
  <c r="I377" i="5"/>
  <c r="I379" i="5"/>
  <c r="I381" i="5"/>
  <c r="I383" i="5"/>
  <c r="I385" i="5"/>
  <c r="I387" i="5"/>
  <c r="I389" i="5"/>
  <c r="I391" i="5"/>
  <c r="I393" i="5"/>
  <c r="I344" i="5"/>
  <c r="L344" i="5" s="1"/>
  <c r="I346" i="5"/>
  <c r="L346" i="5" s="1"/>
  <c r="I348" i="5"/>
  <c r="L348" i="5" s="1"/>
  <c r="I350" i="5"/>
  <c r="L350" i="5" s="1"/>
  <c r="I352" i="5"/>
  <c r="L352" i="5" s="1"/>
  <c r="I354" i="5"/>
  <c r="I356" i="5"/>
  <c r="I358" i="5"/>
  <c r="I360" i="5"/>
  <c r="I362" i="5"/>
  <c r="I364" i="5"/>
  <c r="I366" i="5"/>
  <c r="I368" i="5"/>
  <c r="I370" i="5"/>
  <c r="I372" i="5"/>
  <c r="I374" i="5"/>
  <c r="I376" i="5"/>
  <c r="I378" i="5"/>
  <c r="I380" i="5"/>
  <c r="I382" i="5"/>
  <c r="I384" i="5"/>
  <c r="I386" i="5"/>
  <c r="I388" i="5"/>
  <c r="I390" i="5"/>
  <c r="I392" i="5"/>
  <c r="I394" i="5"/>
  <c r="I343" i="5"/>
  <c r="L343" i="5" s="1"/>
  <c r="K394" i="5"/>
  <c r="H355" i="5"/>
  <c r="K395" i="5"/>
  <c r="H356" i="5"/>
  <c r="I17" i="6"/>
  <c r="K17" i="6"/>
  <c r="I55" i="5"/>
  <c r="L55" i="5" s="1"/>
  <c r="I53" i="5"/>
  <c r="L53" i="5" s="1"/>
  <c r="I51" i="5"/>
  <c r="L51" i="5" s="1"/>
  <c r="I49" i="5"/>
  <c r="L49" i="5" s="1"/>
  <c r="I47" i="5"/>
  <c r="L47" i="5" s="1"/>
  <c r="I45" i="5"/>
  <c r="L45" i="5" s="1"/>
  <c r="I43" i="5"/>
  <c r="L43" i="5" s="1"/>
  <c r="I41" i="5"/>
  <c r="L41" i="5" s="1"/>
  <c r="I39" i="5"/>
  <c r="L39" i="5" s="1"/>
  <c r="I37" i="5"/>
  <c r="L37" i="5" s="1"/>
  <c r="I35" i="5"/>
  <c r="L35" i="5" s="1"/>
  <c r="G34" i="5"/>
  <c r="I33" i="5"/>
  <c r="L33" i="5" s="1"/>
  <c r="I32" i="5"/>
  <c r="L32" i="5" s="1"/>
  <c r="I31" i="5"/>
  <c r="L31" i="5" s="1"/>
  <c r="I34" i="5"/>
  <c r="L34" i="5" s="1"/>
  <c r="G35" i="5"/>
  <c r="I36" i="5"/>
  <c r="L36" i="5" s="1"/>
  <c r="I38" i="5"/>
  <c r="L38" i="5" s="1"/>
  <c r="I40" i="5"/>
  <c r="L40" i="5" s="1"/>
  <c r="I42" i="5"/>
  <c r="L42" i="5" s="1"/>
  <c r="I44" i="5"/>
  <c r="L44" i="5" s="1"/>
  <c r="I46" i="5"/>
  <c r="L46" i="5" s="1"/>
  <c r="I48" i="5"/>
  <c r="L48" i="5" s="1"/>
  <c r="I50" i="5"/>
  <c r="L50" i="5" s="1"/>
  <c r="I52" i="5"/>
  <c r="L52" i="5" s="1"/>
  <c r="I54" i="5"/>
  <c r="L54" i="5" s="1"/>
  <c r="K162" i="5"/>
  <c r="G114" i="5"/>
  <c r="K164" i="5"/>
  <c r="G116" i="5"/>
  <c r="G117" i="5"/>
  <c r="G121" i="5"/>
  <c r="G125" i="5"/>
  <c r="G129" i="5"/>
  <c r="I139" i="5"/>
  <c r="L139" i="5" s="1"/>
  <c r="K301" i="5"/>
  <c r="G253" i="5"/>
  <c r="K302" i="5"/>
  <c r="G254" i="5"/>
  <c r="K303" i="5"/>
  <c r="G255" i="5"/>
  <c r="G337" i="5"/>
  <c r="H346" i="5"/>
  <c r="G338" i="5"/>
  <c r="H347" i="5"/>
  <c r="G339" i="5"/>
  <c r="H348" i="5"/>
  <c r="G340" i="5"/>
  <c r="H349" i="5"/>
  <c r="K55" i="5"/>
  <c r="K57" i="5"/>
  <c r="K59" i="5"/>
  <c r="H22" i="5"/>
  <c r="H24" i="5"/>
  <c r="H26" i="5"/>
  <c r="H28" i="5"/>
  <c r="H30" i="5"/>
  <c r="G23" i="5"/>
  <c r="K83" i="5"/>
  <c r="K85" i="5"/>
  <c r="K87" i="5"/>
  <c r="K89" i="5"/>
  <c r="K91" i="5"/>
  <c r="K93" i="5"/>
  <c r="G98" i="5"/>
  <c r="G115" i="5"/>
  <c r="K167" i="5"/>
  <c r="G120" i="5"/>
  <c r="G119" i="5"/>
  <c r="K171" i="5"/>
  <c r="G124" i="5"/>
  <c r="G123" i="5"/>
  <c r="K175" i="5"/>
  <c r="G128" i="5"/>
  <c r="G127" i="5"/>
  <c r="K179" i="5"/>
  <c r="G131" i="5"/>
  <c r="G136" i="5"/>
  <c r="I137" i="5"/>
  <c r="L137" i="5" s="1"/>
  <c r="G141" i="5"/>
  <c r="G142" i="5"/>
  <c r="G256" i="5"/>
  <c r="G261" i="5"/>
  <c r="G262" i="5"/>
  <c r="H306" i="5"/>
  <c r="G297" i="5"/>
  <c r="H307" i="5"/>
  <c r="K346" i="5"/>
  <c r="G298" i="5"/>
  <c r="H308" i="5"/>
  <c r="K347" i="5"/>
  <c r="G25" i="5"/>
  <c r="H38" i="5"/>
  <c r="H40" i="5"/>
  <c r="P63" i="5"/>
  <c r="P64" i="5" s="1"/>
  <c r="H74" i="5"/>
  <c r="G67" i="5"/>
  <c r="G83" i="5"/>
  <c r="G85" i="5"/>
  <c r="G104" i="5"/>
  <c r="G106" i="5"/>
  <c r="G111" i="5"/>
  <c r="G112" i="5"/>
  <c r="G113" i="5"/>
  <c r="G138" i="5"/>
  <c r="I136" i="5"/>
  <c r="L136" i="5" s="1"/>
  <c r="G140" i="5"/>
  <c r="I138" i="5"/>
  <c r="L138" i="5" s="1"/>
  <c r="I140" i="5"/>
  <c r="L140" i="5" s="1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I247" i="5"/>
  <c r="L247" i="5" s="1"/>
  <c r="I246" i="5"/>
  <c r="I245" i="5"/>
  <c r="L245" i="5" s="1"/>
  <c r="I244" i="5"/>
  <c r="L244" i="5" s="1"/>
  <c r="I243" i="5"/>
  <c r="L243" i="5" s="1"/>
  <c r="I242" i="5"/>
  <c r="I241" i="5"/>
  <c r="L241" i="5" s="1"/>
  <c r="I240" i="5"/>
  <c r="L240" i="5" s="1"/>
  <c r="I239" i="5"/>
  <c r="L239" i="5" s="1"/>
  <c r="K306" i="5"/>
  <c r="G259" i="5"/>
  <c r="G258" i="5"/>
  <c r="K343" i="5"/>
  <c r="H310" i="5"/>
  <c r="K349" i="5"/>
  <c r="K181" i="5"/>
  <c r="H144" i="5"/>
  <c r="G133" i="5"/>
  <c r="K185" i="5"/>
  <c r="G135" i="5"/>
  <c r="G137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3" i="5"/>
  <c r="K237" i="5"/>
  <c r="K238" i="5"/>
  <c r="K240" i="5"/>
  <c r="G193" i="5"/>
  <c r="K242" i="5"/>
  <c r="G195" i="5"/>
  <c r="K305" i="5"/>
  <c r="G257" i="5"/>
  <c r="K316" i="5"/>
  <c r="K317" i="5"/>
  <c r="K318" i="5"/>
  <c r="K319" i="5"/>
  <c r="K320" i="5"/>
  <c r="K321" i="5"/>
  <c r="K322" i="5"/>
  <c r="K323" i="5"/>
  <c r="K324" i="5"/>
  <c r="K325" i="5"/>
  <c r="K338" i="5"/>
  <c r="K339" i="5"/>
  <c r="K340" i="5"/>
  <c r="K341" i="5"/>
  <c r="K344" i="5"/>
  <c r="G296" i="5"/>
  <c r="H309" i="5"/>
  <c r="K348" i="5"/>
  <c r="H311" i="5"/>
  <c r="K350" i="5"/>
  <c r="H313" i="5"/>
  <c r="K352" i="5"/>
  <c r="K351" i="5"/>
  <c r="H314" i="5"/>
  <c r="K353" i="5"/>
  <c r="H332" i="5"/>
  <c r="H333" i="5"/>
  <c r="H334" i="5"/>
  <c r="H335" i="5"/>
  <c r="H336" i="5"/>
  <c r="H337" i="5"/>
  <c r="H341" i="5"/>
  <c r="H342" i="5"/>
  <c r="H343" i="5"/>
  <c r="G341" i="5"/>
  <c r="H350" i="5"/>
  <c r="G342" i="5"/>
  <c r="H351" i="5"/>
  <c r="G343" i="5"/>
  <c r="H352" i="5"/>
  <c r="G344" i="5"/>
  <c r="H353" i="5"/>
  <c r="G345" i="5"/>
  <c r="G347" i="5"/>
  <c r="H345" i="5"/>
  <c r="H344" i="5"/>
  <c r="K345" i="5"/>
  <c r="J345" i="5"/>
  <c r="AD37" i="8"/>
  <c r="AD39" i="8" s="1"/>
  <c r="AD41" i="8" s="1"/>
  <c r="K75" i="5"/>
  <c r="K81" i="5"/>
  <c r="K96" i="5"/>
  <c r="K126" i="5"/>
  <c r="H87" i="5"/>
  <c r="H86" i="5"/>
  <c r="G78" i="5"/>
  <c r="G77" i="5"/>
  <c r="G1" i="5"/>
  <c r="G7" i="5"/>
  <c r="G8" i="5"/>
  <c r="G9" i="5"/>
  <c r="G10" i="5"/>
  <c r="G11" i="5"/>
  <c r="G12" i="5"/>
  <c r="G13" i="5"/>
  <c r="G14" i="5"/>
  <c r="G15" i="5"/>
  <c r="G16" i="5"/>
  <c r="H17" i="5"/>
  <c r="G18" i="5"/>
  <c r="H19" i="5"/>
  <c r="G20" i="5"/>
  <c r="H21" i="5"/>
  <c r="G22" i="5"/>
  <c r="H23" i="5"/>
  <c r="G24" i="5"/>
  <c r="H25" i="5"/>
  <c r="G26" i="5"/>
  <c r="H27" i="5"/>
  <c r="G28" i="5"/>
  <c r="H29" i="5"/>
  <c r="G30" i="5"/>
  <c r="K82" i="5"/>
  <c r="I82" i="5"/>
  <c r="L82" i="5" s="1"/>
  <c r="I79" i="5"/>
  <c r="L79" i="5" s="1"/>
  <c r="H31" i="5"/>
  <c r="H32" i="5"/>
  <c r="J32" i="5"/>
  <c r="K84" i="5"/>
  <c r="H33" i="5"/>
  <c r="J33" i="5"/>
  <c r="H34" i="5"/>
  <c r="J34" i="5"/>
  <c r="K86" i="5"/>
  <c r="H35" i="5"/>
  <c r="H36" i="5"/>
  <c r="J36" i="5"/>
  <c r="K88" i="5"/>
  <c r="H37" i="5"/>
  <c r="J37" i="5"/>
  <c r="K90" i="5"/>
  <c r="H39" i="5"/>
  <c r="J39" i="5"/>
  <c r="J40" i="5"/>
  <c r="K92" i="5"/>
  <c r="H41" i="5"/>
  <c r="J41" i="5"/>
  <c r="H42" i="5"/>
  <c r="J42" i="5"/>
  <c r="K94" i="5"/>
  <c r="H43" i="5"/>
  <c r="K95" i="5"/>
  <c r="H44" i="5"/>
  <c r="J44" i="5"/>
  <c r="H45" i="5"/>
  <c r="J45" i="5"/>
  <c r="K97" i="5"/>
  <c r="H46" i="5"/>
  <c r="K98" i="5"/>
  <c r="H47" i="5"/>
  <c r="J47" i="5"/>
  <c r="K99" i="5"/>
  <c r="H48" i="5"/>
  <c r="J48" i="5"/>
  <c r="K100" i="5"/>
  <c r="H49" i="5"/>
  <c r="J49" i="5"/>
  <c r="K101" i="5"/>
  <c r="H50" i="5"/>
  <c r="K102" i="5"/>
  <c r="H51" i="5"/>
  <c r="J51" i="5"/>
  <c r="K103" i="5"/>
  <c r="H52" i="5"/>
  <c r="J52" i="5"/>
  <c r="K104" i="5"/>
  <c r="H53" i="5"/>
  <c r="J53" i="5"/>
  <c r="K105" i="5"/>
  <c r="H54" i="5"/>
  <c r="K106" i="5"/>
  <c r="H55" i="5"/>
  <c r="J55" i="5"/>
  <c r="G56" i="5"/>
  <c r="I56" i="5"/>
  <c r="L56" i="5" s="1"/>
  <c r="K56" i="5"/>
  <c r="K108" i="5"/>
  <c r="H57" i="5"/>
  <c r="G58" i="5"/>
  <c r="I58" i="5"/>
  <c r="L58" i="5" s="1"/>
  <c r="K58" i="5"/>
  <c r="K110" i="5"/>
  <c r="H59" i="5"/>
  <c r="G60" i="5"/>
  <c r="I60" i="5"/>
  <c r="L60" i="5" s="1"/>
  <c r="G61" i="5"/>
  <c r="I61" i="5"/>
  <c r="L61" i="5" s="1"/>
  <c r="K61" i="5"/>
  <c r="G62" i="5"/>
  <c r="I62" i="5"/>
  <c r="L62" i="5" s="1"/>
  <c r="G63" i="5"/>
  <c r="I63" i="5"/>
  <c r="L63" i="5" s="1"/>
  <c r="K63" i="5"/>
  <c r="I64" i="5"/>
  <c r="L64" i="5" s="1"/>
  <c r="G65" i="5"/>
  <c r="I65" i="5"/>
  <c r="L65" i="5" s="1"/>
  <c r="K65" i="5"/>
  <c r="K117" i="5"/>
  <c r="H78" i="5"/>
  <c r="H66" i="5"/>
  <c r="I67" i="5"/>
  <c r="L67" i="5" s="1"/>
  <c r="K67" i="5"/>
  <c r="K119" i="5"/>
  <c r="H80" i="5"/>
  <c r="G69" i="5"/>
  <c r="I69" i="5"/>
  <c r="L69" i="5" s="1"/>
  <c r="K69" i="5"/>
  <c r="K121" i="5"/>
  <c r="G71" i="5"/>
  <c r="I71" i="5"/>
  <c r="L71" i="5" s="1"/>
  <c r="K71" i="5"/>
  <c r="K123" i="5"/>
  <c r="G73" i="5"/>
  <c r="I73" i="5"/>
  <c r="L73" i="5" s="1"/>
  <c r="K73" i="5"/>
  <c r="K125" i="5"/>
  <c r="I76" i="5"/>
  <c r="L76" i="5" s="1"/>
  <c r="K128" i="5"/>
  <c r="H89" i="5"/>
  <c r="K129" i="5"/>
  <c r="I78" i="5"/>
  <c r="L78" i="5" s="1"/>
  <c r="K130" i="5"/>
  <c r="H91" i="5"/>
  <c r="G82" i="5"/>
  <c r="K131" i="5"/>
  <c r="I80" i="5"/>
  <c r="L80" i="5" s="1"/>
  <c r="K132" i="5"/>
  <c r="H93" i="5"/>
  <c r="G84" i="5"/>
  <c r="I81" i="5"/>
  <c r="L81" i="5" s="1"/>
  <c r="K133" i="5"/>
  <c r="K134" i="5"/>
  <c r="J83" i="5"/>
  <c r="K135" i="5"/>
  <c r="I104" i="5"/>
  <c r="L104" i="5" s="1"/>
  <c r="I102" i="5"/>
  <c r="L102" i="5" s="1"/>
  <c r="I100" i="5"/>
  <c r="L100" i="5" s="1"/>
  <c r="H96" i="5"/>
  <c r="K136" i="5"/>
  <c r="I85" i="5"/>
  <c r="L85" i="5" s="1"/>
  <c r="K137" i="5"/>
  <c r="H98" i="5"/>
  <c r="K138" i="5"/>
  <c r="I87" i="5"/>
  <c r="L87" i="5" s="1"/>
  <c r="K139" i="5"/>
  <c r="H99" i="5"/>
  <c r="H100" i="5"/>
  <c r="K140" i="5"/>
  <c r="I89" i="5"/>
  <c r="L89" i="5" s="1"/>
  <c r="K141" i="5"/>
  <c r="H101" i="5"/>
  <c r="H102" i="5"/>
  <c r="K142" i="5"/>
  <c r="I91" i="5"/>
  <c r="L91" i="5" s="1"/>
  <c r="K143" i="5"/>
  <c r="H103" i="5"/>
  <c r="H104" i="5"/>
  <c r="G95" i="5"/>
  <c r="K144" i="5"/>
  <c r="I93" i="5"/>
  <c r="L93" i="5" s="1"/>
  <c r="K145" i="5"/>
  <c r="H105" i="5"/>
  <c r="H106" i="5"/>
  <c r="G97" i="5"/>
  <c r="H95" i="5"/>
  <c r="G96" i="5"/>
  <c r="H97" i="5"/>
  <c r="K150" i="5"/>
  <c r="K156" i="5"/>
  <c r="K158" i="5"/>
  <c r="K166" i="5"/>
  <c r="K168" i="5"/>
  <c r="K170" i="5"/>
  <c r="K172" i="5"/>
  <c r="K174" i="5"/>
  <c r="K176" i="5"/>
  <c r="K178" i="5"/>
  <c r="K180" i="5"/>
  <c r="K182" i="5"/>
  <c r="K195" i="5"/>
  <c r="H156" i="5"/>
  <c r="G147" i="5"/>
  <c r="G17" i="5"/>
  <c r="G19" i="5"/>
  <c r="H20" i="5"/>
  <c r="G21" i="5"/>
  <c r="K77" i="5"/>
  <c r="G27" i="5"/>
  <c r="K79" i="5"/>
  <c r="G29" i="5"/>
  <c r="G31" i="5"/>
  <c r="G32" i="5"/>
  <c r="G33" i="5"/>
  <c r="K107" i="5"/>
  <c r="H56" i="5"/>
  <c r="G57" i="5"/>
  <c r="I57" i="5"/>
  <c r="L57" i="5" s="1"/>
  <c r="K109" i="5"/>
  <c r="H58" i="5"/>
  <c r="G59" i="5"/>
  <c r="I59" i="5"/>
  <c r="L59" i="5" s="1"/>
  <c r="K111" i="5"/>
  <c r="H60" i="5"/>
  <c r="K112" i="5"/>
  <c r="H61" i="5"/>
  <c r="K113" i="5"/>
  <c r="H62" i="5"/>
  <c r="K114" i="5"/>
  <c r="H63" i="5"/>
  <c r="K115" i="5"/>
  <c r="H64" i="5"/>
  <c r="K116" i="5"/>
  <c r="H65" i="5"/>
  <c r="G66" i="5"/>
  <c r="I66" i="5"/>
  <c r="L66" i="5" s="1"/>
  <c r="K118" i="5"/>
  <c r="H67" i="5"/>
  <c r="G68" i="5"/>
  <c r="I68" i="5"/>
  <c r="L68" i="5" s="1"/>
  <c r="K120" i="5"/>
  <c r="H81" i="5"/>
  <c r="H69" i="5"/>
  <c r="G70" i="5"/>
  <c r="I70" i="5"/>
  <c r="L70" i="5" s="1"/>
  <c r="K122" i="5"/>
  <c r="H83" i="5"/>
  <c r="H71" i="5"/>
  <c r="G72" i="5"/>
  <c r="I72" i="5"/>
  <c r="L72" i="5" s="1"/>
  <c r="K124" i="5"/>
  <c r="H85" i="5"/>
  <c r="H73" i="5"/>
  <c r="G74" i="5"/>
  <c r="I74" i="5"/>
  <c r="L74" i="5" s="1"/>
  <c r="G75" i="5"/>
  <c r="I75" i="5"/>
  <c r="L75" i="5" s="1"/>
  <c r="K127" i="5"/>
  <c r="G79" i="5"/>
  <c r="H76" i="5"/>
  <c r="I77" i="5"/>
  <c r="L77" i="5" s="1"/>
  <c r="H79" i="5"/>
  <c r="H82" i="5"/>
  <c r="H84" i="5"/>
  <c r="H88" i="5"/>
  <c r="K146" i="5"/>
  <c r="H107" i="5"/>
  <c r="I96" i="5"/>
  <c r="L96" i="5" s="1"/>
  <c r="K148" i="5"/>
  <c r="H109" i="5"/>
  <c r="H108" i="5"/>
  <c r="G100" i="5"/>
  <c r="I98" i="5"/>
  <c r="L98" i="5" s="1"/>
  <c r="K196" i="5"/>
  <c r="H157" i="5"/>
  <c r="G148" i="5"/>
  <c r="K202" i="5"/>
  <c r="H163" i="5"/>
  <c r="G154" i="5"/>
  <c r="I84" i="5"/>
  <c r="L84" i="5" s="1"/>
  <c r="G86" i="5"/>
  <c r="I86" i="5"/>
  <c r="L86" i="5" s="1"/>
  <c r="G88" i="5"/>
  <c r="I88" i="5"/>
  <c r="L88" i="5" s="1"/>
  <c r="G90" i="5"/>
  <c r="I90" i="5"/>
  <c r="L90" i="5" s="1"/>
  <c r="G92" i="5"/>
  <c r="I92" i="5"/>
  <c r="L92" i="5" s="1"/>
  <c r="G94" i="5"/>
  <c r="I94" i="5"/>
  <c r="L94" i="5" s="1"/>
  <c r="I95" i="5"/>
  <c r="L95" i="5" s="1"/>
  <c r="I97" i="5"/>
  <c r="L97" i="5" s="1"/>
  <c r="G99" i="5"/>
  <c r="I99" i="5"/>
  <c r="L99" i="5" s="1"/>
  <c r="G101" i="5"/>
  <c r="I101" i="5"/>
  <c r="L101" i="5" s="1"/>
  <c r="G103" i="5"/>
  <c r="I103" i="5"/>
  <c r="L103" i="5" s="1"/>
  <c r="G105" i="5"/>
  <c r="I105" i="5"/>
  <c r="L105" i="5" s="1"/>
  <c r="G107" i="5"/>
  <c r="I107" i="5"/>
  <c r="L107" i="5" s="1"/>
  <c r="G108" i="5"/>
  <c r="I108" i="5"/>
  <c r="L108" i="5" s="1"/>
  <c r="G109" i="5"/>
  <c r="I109" i="5"/>
  <c r="L109" i="5" s="1"/>
  <c r="G110" i="5"/>
  <c r="I110" i="5"/>
  <c r="L110" i="5" s="1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K184" i="5"/>
  <c r="H133" i="5"/>
  <c r="H134" i="5"/>
  <c r="K186" i="5"/>
  <c r="I186" i="5"/>
  <c r="L186" i="5" s="1"/>
  <c r="I184" i="5"/>
  <c r="L184" i="5" s="1"/>
  <c r="H135" i="5"/>
  <c r="J135" i="5"/>
  <c r="K187" i="5"/>
  <c r="H136" i="5"/>
  <c r="J136" i="5"/>
  <c r="K188" i="5"/>
  <c r="H137" i="5"/>
  <c r="J137" i="5"/>
  <c r="K189" i="5"/>
  <c r="H138" i="5"/>
  <c r="J138" i="5"/>
  <c r="K190" i="5"/>
  <c r="H139" i="5"/>
  <c r="J139" i="5"/>
  <c r="K191" i="5"/>
  <c r="H140" i="5"/>
  <c r="J140" i="5"/>
  <c r="K192" i="5"/>
  <c r="H141" i="5"/>
  <c r="K193" i="5"/>
  <c r="H142" i="5"/>
  <c r="K194" i="5"/>
  <c r="H143" i="5"/>
  <c r="E144" i="5"/>
  <c r="G144" i="5"/>
  <c r="I144" i="5"/>
  <c r="L144" i="5" s="1"/>
  <c r="H145" i="5"/>
  <c r="K197" i="5"/>
  <c r="H146" i="5"/>
  <c r="K198" i="5"/>
  <c r="H147" i="5"/>
  <c r="K199" i="5"/>
  <c r="H148" i="5"/>
  <c r="K200" i="5"/>
  <c r="H149" i="5"/>
  <c r="K201" i="5"/>
  <c r="H150" i="5"/>
  <c r="E151" i="5"/>
  <c r="G151" i="5"/>
  <c r="I151" i="5"/>
  <c r="L151" i="5" s="1"/>
  <c r="G152" i="5"/>
  <c r="I152" i="5"/>
  <c r="L152" i="5" s="1"/>
  <c r="K152" i="5"/>
  <c r="G153" i="5"/>
  <c r="I153" i="5"/>
  <c r="L153" i="5" s="1"/>
  <c r="I154" i="5"/>
  <c r="L154" i="5" s="1"/>
  <c r="K154" i="5"/>
  <c r="G155" i="5"/>
  <c r="I155" i="5"/>
  <c r="L155" i="5" s="1"/>
  <c r="G156" i="5"/>
  <c r="I156" i="5"/>
  <c r="L156" i="5" s="1"/>
  <c r="G157" i="5"/>
  <c r="I157" i="5"/>
  <c r="L157" i="5" s="1"/>
  <c r="G158" i="5"/>
  <c r="I158" i="5"/>
  <c r="L158" i="5" s="1"/>
  <c r="G159" i="5"/>
  <c r="I159" i="5"/>
  <c r="L159" i="5" s="1"/>
  <c r="K159" i="5"/>
  <c r="G160" i="5"/>
  <c r="I160" i="5"/>
  <c r="L160" i="5" s="1"/>
  <c r="K160" i="5"/>
  <c r="G161" i="5"/>
  <c r="I161" i="5"/>
  <c r="L161" i="5" s="1"/>
  <c r="K161" i="5"/>
  <c r="G162" i="5"/>
  <c r="I162" i="5"/>
  <c r="L162" i="5" s="1"/>
  <c r="G163" i="5"/>
  <c r="I163" i="5"/>
  <c r="L163" i="5" s="1"/>
  <c r="G164" i="5"/>
  <c r="I164" i="5"/>
  <c r="L164" i="5" s="1"/>
  <c r="G165" i="5"/>
  <c r="I165" i="5"/>
  <c r="L165" i="5" s="1"/>
  <c r="G166" i="5"/>
  <c r="I166" i="5"/>
  <c r="L166" i="5" s="1"/>
  <c r="G167" i="5"/>
  <c r="I167" i="5"/>
  <c r="L167" i="5" s="1"/>
  <c r="G168" i="5"/>
  <c r="I168" i="5"/>
  <c r="L168" i="5" s="1"/>
  <c r="G169" i="5"/>
  <c r="I169" i="5"/>
  <c r="L169" i="5" s="1"/>
  <c r="G170" i="5"/>
  <c r="I170" i="5"/>
  <c r="L170" i="5" s="1"/>
  <c r="G171" i="5"/>
  <c r="I171" i="5"/>
  <c r="L171" i="5" s="1"/>
  <c r="G172" i="5"/>
  <c r="I172" i="5"/>
  <c r="L172" i="5" s="1"/>
  <c r="G173" i="5"/>
  <c r="I173" i="5"/>
  <c r="L173" i="5" s="1"/>
  <c r="I174" i="5"/>
  <c r="L174" i="5" s="1"/>
  <c r="G175" i="5"/>
  <c r="I175" i="5"/>
  <c r="L175" i="5" s="1"/>
  <c r="I176" i="5"/>
  <c r="L176" i="5" s="1"/>
  <c r="I177" i="5"/>
  <c r="L177" i="5" s="1"/>
  <c r="I178" i="5"/>
  <c r="L178" i="5" s="1"/>
  <c r="I179" i="5"/>
  <c r="L179" i="5" s="1"/>
  <c r="I180" i="5"/>
  <c r="L180" i="5" s="1"/>
  <c r="I181" i="5"/>
  <c r="L181" i="5" s="1"/>
  <c r="I182" i="5"/>
  <c r="L182" i="5" s="1"/>
  <c r="K183" i="5"/>
  <c r="H184" i="5"/>
  <c r="I185" i="5"/>
  <c r="L185" i="5" s="1"/>
  <c r="K244" i="5"/>
  <c r="K246" i="5"/>
  <c r="G102" i="5"/>
  <c r="I106" i="5"/>
  <c r="L106" i="5" s="1"/>
  <c r="H110" i="5"/>
  <c r="I111" i="5"/>
  <c r="L111" i="5" s="1"/>
  <c r="I112" i="5"/>
  <c r="L112" i="5" s="1"/>
  <c r="I113" i="5"/>
  <c r="L113" i="5" s="1"/>
  <c r="I114" i="5"/>
  <c r="L114" i="5" s="1"/>
  <c r="I115" i="5"/>
  <c r="L115" i="5" s="1"/>
  <c r="I116" i="5"/>
  <c r="L116" i="5" s="1"/>
  <c r="I117" i="5"/>
  <c r="L117" i="5" s="1"/>
  <c r="I118" i="5"/>
  <c r="L118" i="5" s="1"/>
  <c r="I119" i="5"/>
  <c r="L119" i="5" s="1"/>
  <c r="I120" i="5"/>
  <c r="L120" i="5" s="1"/>
  <c r="I121" i="5"/>
  <c r="L121" i="5" s="1"/>
  <c r="I122" i="5"/>
  <c r="L122" i="5" s="1"/>
  <c r="I123" i="5"/>
  <c r="L123" i="5" s="1"/>
  <c r="I124" i="5"/>
  <c r="L124" i="5" s="1"/>
  <c r="I125" i="5"/>
  <c r="L125" i="5" s="1"/>
  <c r="I126" i="5"/>
  <c r="L126" i="5" s="1"/>
  <c r="I127" i="5"/>
  <c r="L127" i="5" s="1"/>
  <c r="I128" i="5"/>
  <c r="L128" i="5" s="1"/>
  <c r="I129" i="5"/>
  <c r="L129" i="5" s="1"/>
  <c r="I130" i="5"/>
  <c r="L130" i="5" s="1"/>
  <c r="I131" i="5"/>
  <c r="L131" i="5" s="1"/>
  <c r="I132" i="5"/>
  <c r="L132" i="5" s="1"/>
  <c r="I133" i="5"/>
  <c r="L133" i="5" s="1"/>
  <c r="I134" i="5"/>
  <c r="L134" i="5" s="1"/>
  <c r="I141" i="5"/>
  <c r="L141" i="5" s="1"/>
  <c r="I142" i="5"/>
  <c r="L142" i="5" s="1"/>
  <c r="I143" i="5"/>
  <c r="L143" i="5" s="1"/>
  <c r="G145" i="5"/>
  <c r="I145" i="5"/>
  <c r="L145" i="5" s="1"/>
  <c r="G146" i="5"/>
  <c r="I146" i="5"/>
  <c r="L146" i="5" s="1"/>
  <c r="I147" i="5"/>
  <c r="L147" i="5" s="1"/>
  <c r="I148" i="5"/>
  <c r="L148" i="5" s="1"/>
  <c r="G149" i="5"/>
  <c r="I149" i="5"/>
  <c r="L149" i="5" s="1"/>
  <c r="G150" i="5"/>
  <c r="I150" i="5"/>
  <c r="L150" i="5" s="1"/>
  <c r="H151" i="5"/>
  <c r="H152" i="5"/>
  <c r="H153" i="5"/>
  <c r="H154" i="5"/>
  <c r="H155" i="5"/>
  <c r="H158" i="5"/>
  <c r="H159" i="5"/>
  <c r="H160" i="5"/>
  <c r="H161" i="5"/>
  <c r="H162" i="5"/>
  <c r="H164" i="5"/>
  <c r="H165" i="5"/>
  <c r="H166" i="5"/>
  <c r="H167" i="5"/>
  <c r="H168" i="5"/>
  <c r="H169" i="5"/>
  <c r="H170" i="5"/>
  <c r="K222" i="5"/>
  <c r="H183" i="5"/>
  <c r="H171" i="5"/>
  <c r="H172" i="5"/>
  <c r="K224" i="5"/>
  <c r="H185" i="5"/>
  <c r="H173" i="5"/>
  <c r="H186" i="5"/>
  <c r="K225" i="5"/>
  <c r="H174" i="5"/>
  <c r="H187" i="5"/>
  <c r="K226" i="5"/>
  <c r="H175" i="5"/>
  <c r="K227" i="5"/>
  <c r="H188" i="5"/>
  <c r="H176" i="5"/>
  <c r="H189" i="5"/>
  <c r="K228" i="5"/>
  <c r="H177" i="5"/>
  <c r="K229" i="5"/>
  <c r="H190" i="5"/>
  <c r="H178" i="5"/>
  <c r="K230" i="5"/>
  <c r="H191" i="5"/>
  <c r="H179" i="5"/>
  <c r="H192" i="5"/>
  <c r="K231" i="5"/>
  <c r="H180" i="5"/>
  <c r="K232" i="5"/>
  <c r="H193" i="5"/>
  <c r="G184" i="5"/>
  <c r="H181" i="5"/>
  <c r="K233" i="5"/>
  <c r="H194" i="5"/>
  <c r="H182" i="5"/>
  <c r="K234" i="5"/>
  <c r="H195" i="5"/>
  <c r="G186" i="5"/>
  <c r="I183" i="5"/>
  <c r="L183" i="5" s="1"/>
  <c r="K235" i="5"/>
  <c r="H196" i="5"/>
  <c r="G187" i="5"/>
  <c r="G185" i="5"/>
  <c r="K260" i="5"/>
  <c r="H221" i="5"/>
  <c r="G212" i="5"/>
  <c r="I187" i="5"/>
  <c r="L187" i="5" s="1"/>
  <c r="G189" i="5"/>
  <c r="I189" i="5"/>
  <c r="L189" i="5" s="1"/>
  <c r="G192" i="5"/>
  <c r="I192" i="5"/>
  <c r="L192" i="5" s="1"/>
  <c r="K247" i="5"/>
  <c r="K248" i="5"/>
  <c r="H197" i="5"/>
  <c r="K249" i="5"/>
  <c r="H198" i="5"/>
  <c r="K250" i="5"/>
  <c r="H199" i="5"/>
  <c r="K251" i="5"/>
  <c r="H200" i="5"/>
  <c r="K252" i="5"/>
  <c r="H201" i="5"/>
  <c r="K253" i="5"/>
  <c r="H202" i="5"/>
  <c r="K254" i="5"/>
  <c r="H203" i="5"/>
  <c r="K255" i="5"/>
  <c r="H204" i="5"/>
  <c r="K256" i="5"/>
  <c r="H205" i="5"/>
  <c r="K257" i="5"/>
  <c r="H206" i="5"/>
  <c r="K258" i="5"/>
  <c r="H207" i="5"/>
  <c r="K259" i="5"/>
  <c r="H208" i="5"/>
  <c r="G209" i="5"/>
  <c r="I209" i="5"/>
  <c r="L209" i="5" s="1"/>
  <c r="G210" i="5"/>
  <c r="I210" i="5"/>
  <c r="L210" i="5" s="1"/>
  <c r="G211" i="5"/>
  <c r="I211" i="5"/>
  <c r="L211" i="5" s="1"/>
  <c r="I212" i="5"/>
  <c r="L212" i="5" s="1"/>
  <c r="G213" i="5"/>
  <c r="I213" i="5"/>
  <c r="L213" i="5" s="1"/>
  <c r="G214" i="5"/>
  <c r="I214" i="5"/>
  <c r="L214" i="5" s="1"/>
  <c r="G215" i="5"/>
  <c r="I215" i="5"/>
  <c r="L215" i="5" s="1"/>
  <c r="G216" i="5"/>
  <c r="I216" i="5"/>
  <c r="L216" i="5" s="1"/>
  <c r="G217" i="5"/>
  <c r="I217" i="5"/>
  <c r="L217" i="5" s="1"/>
  <c r="G218" i="5"/>
  <c r="I218" i="5"/>
  <c r="L218" i="5" s="1"/>
  <c r="G219" i="5"/>
  <c r="I219" i="5"/>
  <c r="L219" i="5" s="1"/>
  <c r="G220" i="5"/>
  <c r="I220" i="5"/>
  <c r="L220" i="5" s="1"/>
  <c r="G221" i="5"/>
  <c r="I221" i="5"/>
  <c r="L221" i="5" s="1"/>
  <c r="G222" i="5"/>
  <c r="I222" i="5"/>
  <c r="L222" i="5" s="1"/>
  <c r="G223" i="5"/>
  <c r="I223" i="5"/>
  <c r="L223" i="5" s="1"/>
  <c r="G224" i="5"/>
  <c r="I224" i="5"/>
  <c r="L224" i="5" s="1"/>
  <c r="G225" i="5"/>
  <c r="I225" i="5"/>
  <c r="L225" i="5" s="1"/>
  <c r="G226" i="5"/>
  <c r="I226" i="5"/>
  <c r="L226" i="5" s="1"/>
  <c r="G227" i="5"/>
  <c r="I227" i="5"/>
  <c r="L227" i="5" s="1"/>
  <c r="I228" i="5"/>
  <c r="L228" i="5" s="1"/>
  <c r="I229" i="5"/>
  <c r="L229" i="5" s="1"/>
  <c r="I230" i="5"/>
  <c r="L230" i="5" s="1"/>
  <c r="I231" i="5"/>
  <c r="L231" i="5" s="1"/>
  <c r="I232" i="5"/>
  <c r="L232" i="5" s="1"/>
  <c r="I233" i="5"/>
  <c r="L233" i="5" s="1"/>
  <c r="I234" i="5"/>
  <c r="L234" i="5" s="1"/>
  <c r="I235" i="5"/>
  <c r="L235" i="5" s="1"/>
  <c r="I236" i="5"/>
  <c r="L236" i="5" s="1"/>
  <c r="K236" i="5"/>
  <c r="I238" i="5"/>
  <c r="L238" i="5" s="1"/>
  <c r="K239" i="5"/>
  <c r="J240" i="5"/>
  <c r="K241" i="5"/>
  <c r="K243" i="5"/>
  <c r="J244" i="5"/>
  <c r="K245" i="5"/>
  <c r="K299" i="5"/>
  <c r="G251" i="5"/>
  <c r="G250" i="5"/>
  <c r="G249" i="5"/>
  <c r="H260" i="5"/>
  <c r="I188" i="5"/>
  <c r="L188" i="5" s="1"/>
  <c r="G190" i="5"/>
  <c r="I190" i="5"/>
  <c r="L190" i="5" s="1"/>
  <c r="I191" i="5"/>
  <c r="L191" i="5" s="1"/>
  <c r="I193" i="5"/>
  <c r="L193" i="5" s="1"/>
  <c r="G194" i="5"/>
  <c r="I194" i="5"/>
  <c r="L194" i="5" s="1"/>
  <c r="I195" i="5"/>
  <c r="L195" i="5" s="1"/>
  <c r="G196" i="5"/>
  <c r="I196" i="5"/>
  <c r="L196" i="5" s="1"/>
  <c r="I197" i="5"/>
  <c r="L197" i="5" s="1"/>
  <c r="G198" i="5"/>
  <c r="I198" i="5"/>
  <c r="L198" i="5" s="1"/>
  <c r="G199" i="5"/>
  <c r="I199" i="5"/>
  <c r="L199" i="5" s="1"/>
  <c r="G200" i="5"/>
  <c r="I200" i="5"/>
  <c r="L200" i="5" s="1"/>
  <c r="G201" i="5"/>
  <c r="I201" i="5"/>
  <c r="L201" i="5" s="1"/>
  <c r="G202" i="5"/>
  <c r="I202" i="5"/>
  <c r="L202" i="5" s="1"/>
  <c r="G203" i="5"/>
  <c r="I203" i="5"/>
  <c r="L203" i="5" s="1"/>
  <c r="G204" i="5"/>
  <c r="I204" i="5"/>
  <c r="L204" i="5" s="1"/>
  <c r="G205" i="5"/>
  <c r="I205" i="5"/>
  <c r="L205" i="5" s="1"/>
  <c r="G206" i="5"/>
  <c r="I206" i="5"/>
  <c r="L206" i="5" s="1"/>
  <c r="G207" i="5"/>
  <c r="I207" i="5"/>
  <c r="L207" i="5" s="1"/>
  <c r="G208" i="5"/>
  <c r="I208" i="5"/>
  <c r="L208" i="5" s="1"/>
  <c r="H209" i="5"/>
  <c r="H210" i="5"/>
  <c r="H211" i="5"/>
  <c r="H212" i="5"/>
  <c r="H213" i="5"/>
  <c r="H214" i="5"/>
  <c r="H215" i="5"/>
  <c r="H216" i="5"/>
  <c r="H217" i="5"/>
  <c r="H218" i="5"/>
  <c r="H219" i="5"/>
  <c r="H220" i="5"/>
  <c r="H222" i="5"/>
  <c r="H223" i="5"/>
  <c r="H224" i="5"/>
  <c r="K276" i="5"/>
  <c r="H237" i="5"/>
  <c r="H225" i="5"/>
  <c r="K277" i="5"/>
  <c r="H238" i="5"/>
  <c r="H226" i="5"/>
  <c r="K278" i="5"/>
  <c r="H239" i="5"/>
  <c r="H227" i="5"/>
  <c r="K279" i="5"/>
  <c r="H240" i="5"/>
  <c r="H228" i="5"/>
  <c r="K280" i="5"/>
  <c r="H241" i="5"/>
  <c r="H229" i="5"/>
  <c r="K281" i="5"/>
  <c r="H242" i="5"/>
  <c r="H230" i="5"/>
  <c r="K282" i="5"/>
  <c r="H243" i="5"/>
  <c r="H231" i="5"/>
  <c r="K283" i="5"/>
  <c r="H244" i="5"/>
  <c r="H232" i="5"/>
  <c r="K284" i="5"/>
  <c r="H245" i="5"/>
  <c r="H233" i="5"/>
  <c r="K285" i="5"/>
  <c r="H246" i="5"/>
  <c r="H234" i="5"/>
  <c r="K286" i="5"/>
  <c r="H247" i="5"/>
  <c r="H235" i="5"/>
  <c r="K287" i="5"/>
  <c r="H248" i="5"/>
  <c r="H236" i="5"/>
  <c r="I237" i="5"/>
  <c r="L237" i="5" s="1"/>
  <c r="G238" i="5"/>
  <c r="J239" i="5"/>
  <c r="J241" i="5"/>
  <c r="J243" i="5"/>
  <c r="J245" i="5"/>
  <c r="K300" i="5"/>
  <c r="G252" i="5"/>
  <c r="H261" i="5"/>
  <c r="K288" i="5"/>
  <c r="K289" i="5"/>
  <c r="K290" i="5"/>
  <c r="I290" i="5"/>
  <c r="L290" i="5" s="1"/>
  <c r="I289" i="5"/>
  <c r="L289" i="5" s="1"/>
  <c r="I288" i="5"/>
  <c r="L288" i="5" s="1"/>
  <c r="K291" i="5"/>
  <c r="K292" i="5"/>
  <c r="K293" i="5"/>
  <c r="K294" i="5"/>
  <c r="K295" i="5"/>
  <c r="K296" i="5"/>
  <c r="K297" i="5"/>
  <c r="K298" i="5"/>
  <c r="J247" i="5"/>
  <c r="E248" i="5"/>
  <c r="G248" i="5"/>
  <c r="I248" i="5"/>
  <c r="L248" i="5" s="1"/>
  <c r="H249" i="5"/>
  <c r="H250" i="5"/>
  <c r="H251" i="5"/>
  <c r="H252" i="5"/>
  <c r="H253" i="5"/>
  <c r="H254" i="5"/>
  <c r="H255" i="5"/>
  <c r="K307" i="5"/>
  <c r="H256" i="5"/>
  <c r="K308" i="5"/>
  <c r="H257" i="5"/>
  <c r="K309" i="5"/>
  <c r="H258" i="5"/>
  <c r="K310" i="5"/>
  <c r="H259" i="5"/>
  <c r="K311" i="5"/>
  <c r="K312" i="5"/>
  <c r="K313" i="5"/>
  <c r="H262" i="5"/>
  <c r="G263" i="5"/>
  <c r="I263" i="5"/>
  <c r="L263" i="5" s="1"/>
  <c r="G264" i="5"/>
  <c r="I264" i="5"/>
  <c r="L264" i="5" s="1"/>
  <c r="G265" i="5"/>
  <c r="I265" i="5"/>
  <c r="L265" i="5" s="1"/>
  <c r="G266" i="5"/>
  <c r="I266" i="5"/>
  <c r="L266" i="5" s="1"/>
  <c r="I267" i="5"/>
  <c r="L267" i="5" s="1"/>
  <c r="G268" i="5"/>
  <c r="I268" i="5"/>
  <c r="L268" i="5" s="1"/>
  <c r="G269" i="5"/>
  <c r="I269" i="5"/>
  <c r="L269" i="5" s="1"/>
  <c r="G270" i="5"/>
  <c r="I270" i="5"/>
  <c r="L270" i="5" s="1"/>
  <c r="G271" i="5"/>
  <c r="I271" i="5"/>
  <c r="L271" i="5" s="1"/>
  <c r="G272" i="5"/>
  <c r="I272" i="5"/>
  <c r="L272" i="5" s="1"/>
  <c r="G273" i="5"/>
  <c r="I273" i="5"/>
  <c r="L273" i="5" s="1"/>
  <c r="G274" i="5"/>
  <c r="I274" i="5"/>
  <c r="L274" i="5" s="1"/>
  <c r="G275" i="5"/>
  <c r="I275" i="5"/>
  <c r="L275" i="5" s="1"/>
  <c r="G276" i="5"/>
  <c r="I276" i="5"/>
  <c r="L276" i="5" s="1"/>
  <c r="G277" i="5"/>
  <c r="I277" i="5"/>
  <c r="L277" i="5" s="1"/>
  <c r="I278" i="5"/>
  <c r="L278" i="5" s="1"/>
  <c r="I279" i="5"/>
  <c r="L279" i="5" s="1"/>
  <c r="I280" i="5"/>
  <c r="L280" i="5" s="1"/>
  <c r="I281" i="5"/>
  <c r="L281" i="5" s="1"/>
  <c r="I282" i="5"/>
  <c r="L282" i="5" s="1"/>
  <c r="I283" i="5"/>
  <c r="L283" i="5" s="1"/>
  <c r="I284" i="5"/>
  <c r="L284" i="5" s="1"/>
  <c r="I285" i="5"/>
  <c r="L285" i="5" s="1"/>
  <c r="I286" i="5"/>
  <c r="L286" i="5" s="1"/>
  <c r="I287" i="5"/>
  <c r="L287" i="5" s="1"/>
  <c r="I249" i="5"/>
  <c r="L249" i="5" s="1"/>
  <c r="I250" i="5"/>
  <c r="L250" i="5" s="1"/>
  <c r="I251" i="5"/>
  <c r="L251" i="5" s="1"/>
  <c r="I252" i="5"/>
  <c r="L252" i="5" s="1"/>
  <c r="I253" i="5"/>
  <c r="L253" i="5" s="1"/>
  <c r="I254" i="5"/>
  <c r="L254" i="5" s="1"/>
  <c r="I255" i="5"/>
  <c r="L255" i="5" s="1"/>
  <c r="I256" i="5"/>
  <c r="L256" i="5" s="1"/>
  <c r="I257" i="5"/>
  <c r="L257" i="5" s="1"/>
  <c r="I258" i="5"/>
  <c r="L258" i="5" s="1"/>
  <c r="I259" i="5"/>
  <c r="L259" i="5" s="1"/>
  <c r="I260" i="5"/>
  <c r="L260" i="5" s="1"/>
  <c r="I261" i="5"/>
  <c r="L261" i="5" s="1"/>
  <c r="I262" i="5"/>
  <c r="L262" i="5" s="1"/>
  <c r="H263" i="5"/>
  <c r="K315" i="5"/>
  <c r="K314" i="5"/>
  <c r="H264" i="5"/>
  <c r="H265" i="5"/>
  <c r="H266" i="5"/>
  <c r="H267" i="5"/>
  <c r="H268" i="5"/>
  <c r="H269" i="5"/>
  <c r="H270" i="5"/>
  <c r="H271" i="5"/>
  <c r="H272" i="5"/>
  <c r="H273" i="5"/>
  <c r="H274" i="5"/>
  <c r="K326" i="5"/>
  <c r="H287" i="5"/>
  <c r="H275" i="5"/>
  <c r="K327" i="5"/>
  <c r="H288" i="5"/>
  <c r="H276" i="5"/>
  <c r="K328" i="5"/>
  <c r="H289" i="5"/>
  <c r="H277" i="5"/>
  <c r="K329" i="5"/>
  <c r="H290" i="5"/>
  <c r="H278" i="5"/>
  <c r="K330" i="5"/>
  <c r="H291" i="5"/>
  <c r="H279" i="5"/>
  <c r="K331" i="5"/>
  <c r="H292" i="5"/>
  <c r="H280" i="5"/>
  <c r="K332" i="5"/>
  <c r="H293" i="5"/>
  <c r="H281" i="5"/>
  <c r="K333" i="5"/>
  <c r="H294" i="5"/>
  <c r="H282" i="5"/>
  <c r="K334" i="5"/>
  <c r="H295" i="5"/>
  <c r="H283" i="5"/>
  <c r="K335" i="5"/>
  <c r="H296" i="5"/>
  <c r="H284" i="5"/>
  <c r="K336" i="5"/>
  <c r="G288" i="5"/>
  <c r="H297" i="5"/>
  <c r="H285" i="5"/>
  <c r="K337" i="5"/>
  <c r="G289" i="5"/>
  <c r="H298" i="5"/>
  <c r="H286" i="5"/>
  <c r="G287" i="5"/>
  <c r="K342" i="5"/>
  <c r="I341" i="5"/>
  <c r="L341" i="5" s="1"/>
  <c r="I340" i="5"/>
  <c r="L340" i="5" s="1"/>
  <c r="I339" i="5"/>
  <c r="L339" i="5" s="1"/>
  <c r="I338" i="5"/>
  <c r="L338" i="5" s="1"/>
  <c r="I331" i="5"/>
  <c r="L331" i="5" s="1"/>
  <c r="I330" i="5"/>
  <c r="L330" i="5" s="1"/>
  <c r="I329" i="5"/>
  <c r="L329" i="5" s="1"/>
  <c r="I328" i="5"/>
  <c r="L328" i="5" s="1"/>
  <c r="I327" i="5"/>
  <c r="L327" i="5" s="1"/>
  <c r="I326" i="5"/>
  <c r="L326" i="5" s="1"/>
  <c r="I325" i="5"/>
  <c r="L325" i="5" s="1"/>
  <c r="I324" i="5"/>
  <c r="L324" i="5" s="1"/>
  <c r="I323" i="5"/>
  <c r="L323" i="5" s="1"/>
  <c r="I322" i="5"/>
  <c r="L322" i="5" s="1"/>
  <c r="I321" i="5"/>
  <c r="L321" i="5" s="1"/>
  <c r="I320" i="5"/>
  <c r="L320" i="5" s="1"/>
  <c r="I337" i="5"/>
  <c r="L337" i="5" s="1"/>
  <c r="I336" i="5"/>
  <c r="L336" i="5" s="1"/>
  <c r="I335" i="5"/>
  <c r="L335" i="5" s="1"/>
  <c r="I334" i="5"/>
  <c r="L334" i="5" s="1"/>
  <c r="I333" i="5"/>
  <c r="L333" i="5" s="1"/>
  <c r="I332" i="5"/>
  <c r="L332" i="5" s="1"/>
  <c r="J291" i="5"/>
  <c r="J292" i="5"/>
  <c r="J293" i="5"/>
  <c r="H299" i="5"/>
  <c r="G300" i="5"/>
  <c r="I300" i="5"/>
  <c r="L300" i="5" s="1"/>
  <c r="G301" i="5"/>
  <c r="I301" i="5"/>
  <c r="L301" i="5" s="1"/>
  <c r="G302" i="5"/>
  <c r="I302" i="5"/>
  <c r="L302" i="5" s="1"/>
  <c r="G303" i="5"/>
  <c r="I303" i="5"/>
  <c r="L303" i="5" s="1"/>
  <c r="G304" i="5"/>
  <c r="I304" i="5"/>
  <c r="L304" i="5" s="1"/>
  <c r="G305" i="5"/>
  <c r="I305" i="5"/>
  <c r="L305" i="5" s="1"/>
  <c r="G306" i="5"/>
  <c r="I306" i="5"/>
  <c r="L306" i="5" s="1"/>
  <c r="G307" i="5"/>
  <c r="I307" i="5"/>
  <c r="L307" i="5" s="1"/>
  <c r="G308" i="5"/>
  <c r="I308" i="5"/>
  <c r="L308" i="5" s="1"/>
  <c r="G309" i="5"/>
  <c r="I309" i="5"/>
  <c r="L309" i="5" s="1"/>
  <c r="G310" i="5"/>
  <c r="I310" i="5"/>
  <c r="L310" i="5" s="1"/>
  <c r="G311" i="5"/>
  <c r="I311" i="5"/>
  <c r="L311" i="5" s="1"/>
  <c r="G312" i="5"/>
  <c r="I312" i="5"/>
  <c r="L312" i="5" s="1"/>
  <c r="G313" i="5"/>
  <c r="I313" i="5"/>
  <c r="L313" i="5" s="1"/>
  <c r="G314" i="5"/>
  <c r="I314" i="5"/>
  <c r="L314" i="5" s="1"/>
  <c r="G315" i="5"/>
  <c r="I315" i="5"/>
  <c r="L315" i="5" s="1"/>
  <c r="G316" i="5"/>
  <c r="I316" i="5"/>
  <c r="L316" i="5" s="1"/>
  <c r="G317" i="5"/>
  <c r="I317" i="5"/>
  <c r="L317" i="5" s="1"/>
  <c r="G318" i="5"/>
  <c r="I319" i="5"/>
  <c r="L319" i="5" s="1"/>
  <c r="G290" i="5"/>
  <c r="G291" i="5"/>
  <c r="G292" i="5"/>
  <c r="G293" i="5"/>
  <c r="G294" i="5"/>
  <c r="I294" i="5"/>
  <c r="L294" i="5" s="1"/>
  <c r="G295" i="5"/>
  <c r="I295" i="5"/>
  <c r="L295" i="5" s="1"/>
  <c r="I296" i="5"/>
  <c r="L296" i="5" s="1"/>
  <c r="I297" i="5"/>
  <c r="L297" i="5" s="1"/>
  <c r="I298" i="5"/>
  <c r="L298" i="5" s="1"/>
  <c r="I299" i="5"/>
  <c r="L299" i="5" s="1"/>
  <c r="H300" i="5"/>
  <c r="H301" i="5"/>
  <c r="H302" i="5"/>
  <c r="H303" i="5"/>
  <c r="H304" i="5"/>
  <c r="H305" i="5"/>
  <c r="H312" i="5"/>
  <c r="G320" i="5"/>
  <c r="H329" i="5"/>
  <c r="I318" i="5"/>
  <c r="L318" i="5" s="1"/>
  <c r="G319" i="5"/>
  <c r="H330" i="5"/>
  <c r="H331" i="5"/>
  <c r="G332" i="5"/>
  <c r="G333" i="5"/>
  <c r="G334" i="5"/>
  <c r="G335" i="5"/>
  <c r="H338" i="5"/>
  <c r="H339" i="5"/>
  <c r="H340" i="5"/>
  <c r="G323" i="5"/>
  <c r="G324" i="5"/>
  <c r="G325" i="5"/>
  <c r="G326" i="5"/>
  <c r="G327" i="5"/>
  <c r="G328" i="5"/>
  <c r="J392" i="5" l="1"/>
  <c r="L392" i="5"/>
  <c r="L388" i="5"/>
  <c r="J388" i="5"/>
  <c r="L384" i="5"/>
  <c r="J384" i="5"/>
  <c r="L380" i="5"/>
  <c r="J380" i="5"/>
  <c r="L376" i="5"/>
  <c r="J376" i="5"/>
  <c r="L372" i="5"/>
  <c r="J372" i="5"/>
  <c r="L368" i="5"/>
  <c r="J368" i="5"/>
  <c r="L364" i="5"/>
  <c r="J364" i="5"/>
  <c r="L360" i="5"/>
  <c r="J360" i="5"/>
  <c r="L356" i="5"/>
  <c r="J356" i="5"/>
  <c r="J391" i="5"/>
  <c r="L391" i="5"/>
  <c r="L387" i="5"/>
  <c r="J387" i="5"/>
  <c r="L383" i="5"/>
  <c r="J383" i="5"/>
  <c r="L379" i="5"/>
  <c r="J379" i="5"/>
  <c r="L375" i="5"/>
  <c r="J375" i="5"/>
  <c r="L371" i="5"/>
  <c r="J371" i="5"/>
  <c r="L367" i="5"/>
  <c r="J367" i="5"/>
  <c r="L363" i="5"/>
  <c r="J363" i="5"/>
  <c r="L359" i="5"/>
  <c r="J359" i="5"/>
  <c r="L355" i="5"/>
  <c r="J355" i="5"/>
  <c r="J242" i="5"/>
  <c r="L242" i="5"/>
  <c r="J246" i="5"/>
  <c r="L246" i="5"/>
  <c r="J394" i="5"/>
  <c r="L394" i="5"/>
  <c r="J390" i="5"/>
  <c r="L390" i="5"/>
  <c r="L386" i="5"/>
  <c r="J386" i="5"/>
  <c r="L382" i="5"/>
  <c r="J382" i="5"/>
  <c r="L378" i="5"/>
  <c r="J378" i="5"/>
  <c r="L374" i="5"/>
  <c r="J374" i="5"/>
  <c r="L370" i="5"/>
  <c r="J370" i="5"/>
  <c r="L366" i="5"/>
  <c r="J366" i="5"/>
  <c r="L362" i="5"/>
  <c r="J362" i="5"/>
  <c r="L358" i="5"/>
  <c r="J358" i="5"/>
  <c r="L354" i="5"/>
  <c r="J354" i="5"/>
  <c r="J393" i="5"/>
  <c r="L393" i="5"/>
  <c r="L389" i="5"/>
  <c r="J389" i="5"/>
  <c r="L385" i="5"/>
  <c r="J385" i="5"/>
  <c r="L381" i="5"/>
  <c r="J381" i="5"/>
  <c r="L377" i="5"/>
  <c r="J377" i="5"/>
  <c r="L373" i="5"/>
  <c r="J373" i="5"/>
  <c r="L369" i="5"/>
  <c r="J369" i="5"/>
  <c r="L365" i="5"/>
  <c r="J365" i="5"/>
  <c r="L361" i="5"/>
  <c r="J361" i="5"/>
  <c r="L357" i="5"/>
  <c r="J357" i="5"/>
  <c r="J54" i="5"/>
  <c r="J50" i="5"/>
  <c r="J46" i="5"/>
  <c r="J43" i="5"/>
  <c r="J38" i="5"/>
  <c r="J35" i="5"/>
  <c r="J31" i="5"/>
  <c r="J347" i="5"/>
  <c r="J349" i="5"/>
  <c r="J351" i="5"/>
  <c r="J353" i="5"/>
  <c r="J346" i="5"/>
  <c r="J348" i="5"/>
  <c r="J350" i="5"/>
  <c r="J352" i="5"/>
  <c r="J298" i="5"/>
  <c r="J296" i="5"/>
  <c r="J333" i="5"/>
  <c r="J335" i="5"/>
  <c r="J337" i="5"/>
  <c r="J320" i="5"/>
  <c r="J322" i="5"/>
  <c r="J324" i="5"/>
  <c r="J326" i="5"/>
  <c r="J328" i="5"/>
  <c r="J330" i="5"/>
  <c r="J338" i="5"/>
  <c r="J340" i="5"/>
  <c r="J342" i="5"/>
  <c r="J343" i="5"/>
  <c r="J262" i="5"/>
  <c r="J260" i="5"/>
  <c r="J258" i="5"/>
  <c r="J256" i="5"/>
  <c r="J254" i="5"/>
  <c r="J252" i="5"/>
  <c r="J250" i="5"/>
  <c r="J287" i="5"/>
  <c r="J285" i="5"/>
  <c r="J283" i="5"/>
  <c r="J281" i="5"/>
  <c r="J279" i="5"/>
  <c r="J277" i="5"/>
  <c r="J276" i="5"/>
  <c r="J275" i="5"/>
  <c r="J274" i="5"/>
  <c r="J273" i="5"/>
  <c r="J272" i="5"/>
  <c r="J271" i="5"/>
  <c r="J270" i="5"/>
  <c r="J269" i="5"/>
  <c r="J268" i="5"/>
  <c r="J267" i="5"/>
  <c r="J248" i="5"/>
  <c r="J288" i="5"/>
  <c r="J290" i="5"/>
  <c r="J237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4" i="5"/>
  <c r="J193" i="5"/>
  <c r="J190" i="5"/>
  <c r="J188" i="5"/>
  <c r="J238" i="5"/>
  <c r="J236" i="5"/>
  <c r="J234" i="5"/>
  <c r="J232" i="5"/>
  <c r="J230" i="5"/>
  <c r="J228" i="5"/>
  <c r="J211" i="5"/>
  <c r="J210" i="5"/>
  <c r="J209" i="5"/>
  <c r="J147" i="5"/>
  <c r="J142" i="5"/>
  <c r="J134" i="5"/>
  <c r="J132" i="5"/>
  <c r="J130" i="5"/>
  <c r="J128" i="5"/>
  <c r="J126" i="5"/>
  <c r="J124" i="5"/>
  <c r="J122" i="5"/>
  <c r="J120" i="5"/>
  <c r="J118" i="5"/>
  <c r="J116" i="5"/>
  <c r="J114" i="5"/>
  <c r="J112" i="5"/>
  <c r="J182" i="5"/>
  <c r="J180" i="5"/>
  <c r="J178" i="5"/>
  <c r="J176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0" i="5"/>
  <c r="J154" i="5"/>
  <c r="J152" i="5"/>
  <c r="J151" i="5"/>
  <c r="J144" i="5"/>
  <c r="J184" i="5"/>
  <c r="J110" i="5"/>
  <c r="J109" i="5"/>
  <c r="J108" i="5"/>
  <c r="J107" i="5"/>
  <c r="J105" i="5"/>
  <c r="J103" i="5"/>
  <c r="J101" i="5"/>
  <c r="J99" i="5"/>
  <c r="J97" i="5"/>
  <c r="J94" i="5"/>
  <c r="J92" i="5"/>
  <c r="J90" i="5"/>
  <c r="J88" i="5"/>
  <c r="J86" i="5"/>
  <c r="J84" i="5"/>
  <c r="J96" i="5"/>
  <c r="J72" i="5"/>
  <c r="J68" i="5"/>
  <c r="J66" i="5"/>
  <c r="J59" i="5"/>
  <c r="J57" i="5"/>
  <c r="J89" i="5"/>
  <c r="J100" i="5"/>
  <c r="J104" i="5"/>
  <c r="J81" i="5"/>
  <c r="J80" i="5"/>
  <c r="J73" i="5"/>
  <c r="J71" i="5"/>
  <c r="J69" i="5"/>
  <c r="J65" i="5"/>
  <c r="J64" i="5"/>
  <c r="J63" i="5"/>
  <c r="J62" i="5"/>
  <c r="J58" i="5"/>
  <c r="J79" i="5"/>
  <c r="J318" i="5"/>
  <c r="J299" i="5"/>
  <c r="J297" i="5"/>
  <c r="J295" i="5"/>
  <c r="J294" i="5"/>
  <c r="J319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332" i="5"/>
  <c r="J334" i="5"/>
  <c r="J336" i="5"/>
  <c r="J344" i="5"/>
  <c r="J321" i="5"/>
  <c r="J323" i="5"/>
  <c r="J325" i="5"/>
  <c r="J327" i="5"/>
  <c r="J329" i="5"/>
  <c r="J331" i="5"/>
  <c r="J339" i="5"/>
  <c r="J341" i="5"/>
  <c r="J261" i="5"/>
  <c r="J259" i="5"/>
  <c r="J257" i="5"/>
  <c r="J255" i="5"/>
  <c r="J253" i="5"/>
  <c r="J251" i="5"/>
  <c r="J249" i="5"/>
  <c r="J286" i="5"/>
  <c r="J284" i="5"/>
  <c r="J282" i="5"/>
  <c r="J280" i="5"/>
  <c r="J278" i="5"/>
  <c r="J266" i="5"/>
  <c r="J265" i="5"/>
  <c r="J264" i="5"/>
  <c r="J263" i="5"/>
  <c r="J289" i="5"/>
  <c r="J196" i="5"/>
  <c r="J195" i="5"/>
  <c r="J191" i="5"/>
  <c r="J235" i="5"/>
  <c r="J233" i="5"/>
  <c r="J231" i="5"/>
  <c r="J229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192" i="5"/>
  <c r="J189" i="5"/>
  <c r="J187" i="5"/>
  <c r="J183" i="5"/>
  <c r="J150" i="5"/>
  <c r="J149" i="5"/>
  <c r="J148" i="5"/>
  <c r="J146" i="5"/>
  <c r="J145" i="5"/>
  <c r="J143" i="5"/>
  <c r="J141" i="5"/>
  <c r="J133" i="5"/>
  <c r="J131" i="5"/>
  <c r="J129" i="5"/>
  <c r="J127" i="5"/>
  <c r="R511" i="5"/>
  <c r="J125" i="5"/>
  <c r="J123" i="5"/>
  <c r="J121" i="5"/>
  <c r="J119" i="5"/>
  <c r="J117" i="5"/>
  <c r="J115" i="5"/>
  <c r="J113" i="5"/>
  <c r="J111" i="5"/>
  <c r="J106" i="5"/>
  <c r="J185" i="5"/>
  <c r="J181" i="5"/>
  <c r="J179" i="5"/>
  <c r="J177" i="5"/>
  <c r="J175" i="5"/>
  <c r="J174" i="5"/>
  <c r="J161" i="5"/>
  <c r="J159" i="5"/>
  <c r="J158" i="5"/>
  <c r="J157" i="5"/>
  <c r="J156" i="5"/>
  <c r="J155" i="5"/>
  <c r="J153" i="5"/>
  <c r="N186" i="5"/>
  <c r="J186" i="5"/>
  <c r="J95" i="5"/>
  <c r="J98" i="5"/>
  <c r="J77" i="5"/>
  <c r="J75" i="5"/>
  <c r="J74" i="5"/>
  <c r="J70" i="5"/>
  <c r="J93" i="5"/>
  <c r="J91" i="5"/>
  <c r="J87" i="5"/>
  <c r="J85" i="5"/>
  <c r="J102" i="5"/>
  <c r="J78" i="5"/>
  <c r="J76" i="5"/>
  <c r="J67" i="5"/>
  <c r="J61" i="5"/>
  <c r="J60" i="5"/>
  <c r="J56" i="5"/>
  <c r="J82" i="5"/>
  <c r="S511" i="5" l="1"/>
  <c r="T510" i="5"/>
  <c r="O191" i="5"/>
  <c r="O188" i="5"/>
  <c r="O186" i="5"/>
  <c r="O185" i="5"/>
  <c r="O189" i="5"/>
  <c r="O187" i="5"/>
  <c r="O184" i="5"/>
  <c r="O183" i="5"/>
</calcChain>
</file>

<file path=xl/sharedStrings.xml><?xml version="1.0" encoding="utf-8"?>
<sst xmlns="http://schemas.openxmlformats.org/spreadsheetml/2006/main" count="6195" uniqueCount="1158">
  <si>
    <t>Invoice</t>
  </si>
  <si>
    <t>Number</t>
  </si>
  <si>
    <t>Date</t>
  </si>
  <si>
    <t>Amount</t>
  </si>
  <si>
    <t>Tax</t>
  </si>
  <si>
    <t>Terms</t>
  </si>
  <si>
    <t>Deposit only</t>
  </si>
  <si>
    <t>MC</t>
  </si>
  <si>
    <t>J.Rangel - resale</t>
  </si>
  <si>
    <t>MC, J.Rangel - resale</t>
  </si>
  <si>
    <t>Due, Revolution - resale</t>
  </si>
  <si>
    <t>Visa</t>
  </si>
  <si>
    <t>Due, Fred - resale</t>
  </si>
  <si>
    <t>Discover</t>
  </si>
  <si>
    <t>J.Rangel - resale (return)</t>
  </si>
  <si>
    <t>$80. Visa, Bal Due</t>
  </si>
  <si>
    <t>Due, J.Rangel - resale</t>
  </si>
  <si>
    <t>Visa, Border Patrol</t>
  </si>
  <si>
    <t>$178.88 due, Silvia</t>
  </si>
  <si>
    <t>Revolution - resale</t>
  </si>
  <si>
    <t>Due, Silvia</t>
  </si>
  <si>
    <t>Due</t>
  </si>
  <si>
    <t>Johnny Customs - resale</t>
  </si>
  <si>
    <t>M/C</t>
  </si>
  <si>
    <t>Done Rite - Resale</t>
  </si>
  <si>
    <t>Due, Chris F - resale</t>
  </si>
  <si>
    <t>Check</t>
  </si>
  <si>
    <t>$91.50 Due</t>
  </si>
  <si>
    <t>(Deposited $400. cash)</t>
  </si>
  <si>
    <t>$48.30 due</t>
  </si>
  <si>
    <t>Visa, $282.08 Due</t>
  </si>
  <si>
    <t>$250 cash, Bal MC</t>
  </si>
  <si>
    <t>Due, Gene</t>
  </si>
  <si>
    <t>Visa, J.Rangel - resale</t>
  </si>
  <si>
    <t>AmExp, HD Blk cruiser</t>
  </si>
  <si>
    <t>$201.76 due ('06 CBR1000)</t>
  </si>
  <si>
    <t>ESG - resale</t>
  </si>
  <si>
    <t>$22.79 Visa, Bal Cash</t>
  </si>
  <si>
    <t>$151.29 due</t>
  </si>
  <si>
    <t>Carlos G - MX</t>
  </si>
  <si>
    <t>J.Rangle - resale</t>
  </si>
  <si>
    <t>Visa, $70.70 due</t>
  </si>
  <si>
    <t>CP - TWK resale</t>
  </si>
  <si>
    <t>$94.62 Visa, Bal Cash</t>
  </si>
  <si>
    <t>MC, Return</t>
  </si>
  <si>
    <t>Due (addl to Inv 15223)</t>
  </si>
  <si>
    <t>$90.24 due</t>
  </si>
  <si>
    <t>Due, Triumph</t>
  </si>
  <si>
    <t>Due, ZX9R - Cardenas</t>
  </si>
  <si>
    <t>Due, Border Pat</t>
  </si>
  <si>
    <t>Cash</t>
  </si>
  <si>
    <t>Due, Scooter</t>
  </si>
  <si>
    <t>MC - Peter</t>
  </si>
  <si>
    <t>Due, Border Patrol</t>
  </si>
  <si>
    <t>Peter</t>
  </si>
  <si>
    <t>MC, $101.14 due</t>
  </si>
  <si>
    <t>Due, Michael</t>
  </si>
  <si>
    <t>Due, Addl to Inv 14794</t>
  </si>
  <si>
    <t>George, Revolution - resale</t>
  </si>
  <si>
    <t>Due, Luis</t>
  </si>
  <si>
    <t>Due, Carlos G - resale MX</t>
  </si>
  <si>
    <t>Due, Peter</t>
  </si>
  <si>
    <t>Sunday the 9th</t>
  </si>
  <si>
    <t>Due, Randy - at cost</t>
  </si>
  <si>
    <t>Due, Bike Rods - resale</t>
  </si>
  <si>
    <t>Johnny's Custom - resale</t>
  </si>
  <si>
    <t>Return Inv 15088</t>
  </si>
  <si>
    <t>Visa, Fred R - resale</t>
  </si>
  <si>
    <t>$98.33 due</t>
  </si>
  <si>
    <t>James Ind - resale</t>
  </si>
  <si>
    <t>$67.79 due</t>
  </si>
  <si>
    <t>Bike Rodz - resale</t>
  </si>
  <si>
    <t>Wire, Carlos G</t>
  </si>
  <si>
    <t>$77.53 Due</t>
  </si>
  <si>
    <t>$124.54 MC</t>
  </si>
  <si>
    <t>$68.25 Due</t>
  </si>
  <si>
    <t>$30.36 due</t>
  </si>
  <si>
    <t>Done Rite - resale</t>
  </si>
  <si>
    <t>Inv 14666</t>
  </si>
  <si>
    <t>M/C, Revolution - resale</t>
  </si>
  <si>
    <t>Visa, $143.59 due</t>
  </si>
  <si>
    <t>Visa, $29.77 due</t>
  </si>
  <si>
    <t>Due, Carlos G - MX</t>
  </si>
  <si>
    <t>Due, Bike Rodz - Resale</t>
  </si>
  <si>
    <t>Visa, Pueblo Tires</t>
  </si>
  <si>
    <t>$31.81 due, Johnnys friend</t>
  </si>
  <si>
    <t>Return</t>
  </si>
  <si>
    <t>Trade</t>
  </si>
  <si>
    <t>Visa, $309.70 due</t>
  </si>
  <si>
    <t>MC (actually chg'd on 10th)</t>
  </si>
  <si>
    <t>$300. due</t>
  </si>
  <si>
    <t>$100 trade for tank</t>
  </si>
  <si>
    <t>Check 1313</t>
  </si>
  <si>
    <t>Due, Honda Shadow</t>
  </si>
  <si>
    <t>Check 3556</t>
  </si>
  <si>
    <t>Fred - resale</t>
  </si>
  <si>
    <t>$200 cash, $83.29 Visa</t>
  </si>
  <si>
    <t>Due, ESG - resale</t>
  </si>
  <si>
    <t>The Car Store - resale</t>
  </si>
  <si>
    <t>Carlos G - Mexico</t>
  </si>
  <si>
    <t>Due (w/Inv 14850) - resale</t>
  </si>
  <si>
    <t>Due (w/14849, @ cost)</t>
  </si>
  <si>
    <t>MC, $191.87 due</t>
  </si>
  <si>
    <t>Due, Fred (BikeRodz) - resale</t>
  </si>
  <si>
    <t>Dons - Falfurious, resale</t>
  </si>
  <si>
    <t>Due, Bike Rodz - resale</t>
  </si>
  <si>
    <t>Deposit - 2007 Road King</t>
  </si>
  <si>
    <t>Due (Tue or Thur)</t>
  </si>
  <si>
    <t>Visa, $69.62 due</t>
  </si>
  <si>
    <t>$100 Pd on Inv 14896</t>
  </si>
  <si>
    <t>Due, Luis A</t>
  </si>
  <si>
    <t>$7 due, w/J.R. (Honda)</t>
  </si>
  <si>
    <t>Mastercard</t>
  </si>
  <si>
    <t>$105.88 due (Est)</t>
  </si>
  <si>
    <t>Joe Rangel - resale</t>
  </si>
  <si>
    <t>Due, Katanna</t>
  </si>
  <si>
    <t>Due, Aklarm</t>
  </si>
  <si>
    <t>$256.33 due</t>
  </si>
  <si>
    <t>Inv 14468</t>
  </si>
  <si>
    <t>$48.51 due</t>
  </si>
  <si>
    <t>$284.29 due</t>
  </si>
  <si>
    <t>Fred, Auto Mart - resale</t>
  </si>
  <si>
    <t>Visa, Carlos G - MX</t>
  </si>
  <si>
    <t>Due, Fred Auto Mart - resale</t>
  </si>
  <si>
    <t>$36.91 due</t>
  </si>
  <si>
    <t>Due, Polaris 4-Wheeler</t>
  </si>
  <si>
    <t>162.70 Visa, Bal cash</t>
  </si>
  <si>
    <t>Visa, $173. due</t>
  </si>
  <si>
    <t>$300.80 Visa, Bal Due</t>
  </si>
  <si>
    <t>$875. MC</t>
  </si>
  <si>
    <t>$66.30 due</t>
  </si>
  <si>
    <t>Visa, $54.65 + labor due</t>
  </si>
  <si>
    <t>$194.41 due, Chevo</t>
  </si>
  <si>
    <t>Due, Chevo</t>
  </si>
  <si>
    <t>MC, $91.61 due</t>
  </si>
  <si>
    <t>ESG - Resale</t>
  </si>
  <si>
    <t>148.97.</t>
  </si>
  <si>
    <t>Week ending</t>
  </si>
  <si>
    <t>Sales Receipts</t>
  </si>
  <si>
    <t>Invoices</t>
  </si>
  <si>
    <t>Excel Recorded</t>
  </si>
  <si>
    <t>Total for week</t>
  </si>
  <si>
    <t>4-week running average</t>
  </si>
  <si>
    <t>13-week running average</t>
  </si>
  <si>
    <t>YTD Wk Avg</t>
  </si>
  <si>
    <t>Annualized</t>
  </si>
  <si>
    <t>Moving Annual Sales</t>
  </si>
  <si>
    <t>YTD Dly Avg</t>
  </si>
  <si>
    <t>ytd wk*.3</t>
  </si>
  <si>
    <t>*52</t>
  </si>
  <si>
    <t>/12</t>
  </si>
  <si>
    <t>less shop</t>
  </si>
  <si>
    <t>net mo after tax</t>
  </si>
  <si>
    <t>10% base,</t>
  </si>
  <si>
    <t>inflation</t>
  </si>
  <si>
    <t>Final over base</t>
  </si>
  <si>
    <t>Final over 2011</t>
  </si>
  <si>
    <t>Monthly</t>
  </si>
  <si>
    <t>Weekly</t>
  </si>
  <si>
    <t>Daily</t>
  </si>
  <si>
    <t>Rent</t>
  </si>
  <si>
    <t>Electric</t>
  </si>
  <si>
    <t>Water</t>
  </si>
  <si>
    <t>Vonage</t>
  </si>
  <si>
    <t>Internet</t>
  </si>
  <si>
    <t>House</t>
  </si>
  <si>
    <t>Int</t>
  </si>
  <si>
    <t>Med</t>
  </si>
  <si>
    <t>Health Ins</t>
  </si>
  <si>
    <t>Water/Elec</t>
  </si>
  <si>
    <t>Ins</t>
  </si>
  <si>
    <t>Cell</t>
  </si>
  <si>
    <t>Total Sales by month</t>
  </si>
  <si>
    <t>Average weekly sales by 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</si>
  <si>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</si>
  <si>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</si>
  <si>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</si>
  <si>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</si>
  <si>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</si>
  <si>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</si>
  <si>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</si>
  <si>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</si>
  <si>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</si>
  <si>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</si>
  <si>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</si>
  <si>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</si>
  <si>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RGV Cycle Stuff</t>
  </si>
  <si>
    <t>INVOICE</t>
  </si>
  <si>
    <t xml:space="preserve">DATE: </t>
  </si>
  <si>
    <t xml:space="preserve">INVOICE: </t>
  </si>
  <si>
    <t xml:space="preserve"> </t>
  </si>
  <si>
    <t>Bill To:</t>
  </si>
  <si>
    <t>Ship To:</t>
  </si>
  <si>
    <t>Cash Customer</t>
  </si>
  <si>
    <t>Texas</t>
  </si>
  <si>
    <t>USA</t>
  </si>
  <si>
    <t>P.O. #</t>
  </si>
  <si>
    <t>Sales Rep. Name</t>
  </si>
  <si>
    <t>Ship Date</t>
  </si>
  <si>
    <t>Ship Via</t>
  </si>
  <si>
    <t>Due Date</t>
  </si>
  <si>
    <t>Robert</t>
  </si>
  <si>
    <t>Product ID</t>
  </si>
  <si>
    <t>Description</t>
  </si>
  <si>
    <t>Quantity</t>
  </si>
  <si>
    <t>Unit Price</t>
  </si>
  <si>
    <t>Line Total</t>
  </si>
  <si>
    <t>some product</t>
  </si>
  <si>
    <t>another product</t>
  </si>
  <si>
    <t>SUBTOTAL</t>
  </si>
  <si>
    <t>TAX (8.25%)</t>
  </si>
  <si>
    <t>SHIPPING &amp; HANDLING</t>
  </si>
  <si>
    <t>TOTAL</t>
  </si>
  <si>
    <t>NOTES:</t>
  </si>
  <si>
    <t>PAID</t>
  </si>
  <si>
    <t>Use caution with new tires, "slippery" for the first 100 miles.                       Check all fastening nuts and bolts after 100 miles.</t>
  </si>
  <si>
    <t>TOTAL DUE</t>
  </si>
  <si>
    <t>956-688-8086</t>
  </si>
  <si>
    <t>THANK YOU FOR YOUR BUSINESS !</t>
  </si>
  <si>
    <t>Resale cert.</t>
  </si>
  <si>
    <t>Visa, $61.24 due</t>
  </si>
  <si>
    <t>$33.92 due</t>
  </si>
  <si>
    <t>Due, Stripes</t>
  </si>
  <si>
    <t>$115. due, J.Rangel - resale</t>
  </si>
  <si>
    <t>$24.95 due</t>
  </si>
  <si>
    <t>MC, Johnny Customs</t>
  </si>
  <si>
    <t>MC, Honda 450R</t>
  </si>
  <si>
    <t>Mexico, resale</t>
  </si>
  <si>
    <t>Visa, Chris F - resale</t>
  </si>
  <si>
    <t>Due, Carlos G - MX resale</t>
  </si>
  <si>
    <t>MC, $45.31 due</t>
  </si>
  <si>
    <t>MC, Deposit Only</t>
  </si>
  <si>
    <t>Due, Isaac (Pir Tires)</t>
  </si>
  <si>
    <t>$30 Visa</t>
  </si>
  <si>
    <t>Due, Red XL883</t>
  </si>
  <si>
    <t>Carlos G - MX resale</t>
  </si>
  <si>
    <t>Due Blk HD w/Brngs</t>
  </si>
  <si>
    <t>Due, single fork</t>
  </si>
  <si>
    <t>Due, Baja bike</t>
  </si>
  <si>
    <t>$313. due</t>
  </si>
  <si>
    <t>Due - Randy</t>
  </si>
  <si>
    <t>$287.33 Due</t>
  </si>
  <si>
    <t>$43.30 due</t>
  </si>
  <si>
    <t>ESG - resasle</t>
  </si>
  <si>
    <t>$110 cash, $10 Visa</t>
  </si>
  <si>
    <t>$175.36 due</t>
  </si>
  <si>
    <t>Discover, $106.11 due</t>
  </si>
  <si>
    <t>$200 Visa Pd prior</t>
  </si>
  <si>
    <t>Check 1129, for Resale</t>
  </si>
  <si>
    <t>$40 for Randy</t>
  </si>
  <si>
    <t>$423.91 due, $500 Deposit only pd</t>
  </si>
  <si>
    <t>Due, Sylvia</t>
  </si>
  <si>
    <t>$249 bal due</t>
  </si>
  <si>
    <t>Chris F - resale</t>
  </si>
  <si>
    <t>MC - J.Rangle, resale</t>
  </si>
  <si>
    <t>Due, Calaveras</t>
  </si>
  <si>
    <t>Randy</t>
  </si>
  <si>
    <t>$122.48 due</t>
  </si>
  <si>
    <t>$20.05 MC, Bal Cash</t>
  </si>
  <si>
    <t>$248.16 Due</t>
  </si>
  <si>
    <t>Done Rite - Slim</t>
  </si>
  <si>
    <t>Due, '76 Goldwing</t>
  </si>
  <si>
    <t>Due, XL1200X Brk Switch</t>
  </si>
  <si>
    <t>ESG Customs, resale</t>
  </si>
  <si>
    <t>Visa, Done Rite - resale</t>
  </si>
  <si>
    <t>Pd $100, $105 due</t>
  </si>
  <si>
    <t>Due, Honda CMX250</t>
  </si>
  <si>
    <t>Due, Red Ninja 250</t>
  </si>
  <si>
    <t>Due, Randy</t>
  </si>
  <si>
    <t>Due, w/Inv 15643, $280.63</t>
  </si>
  <si>
    <t>Visa, $1.86 due</t>
  </si>
  <si>
    <t>Due, Done Rite - resale</t>
  </si>
  <si>
    <t>MC, Pd $150 down</t>
  </si>
  <si>
    <t>Fairing, Elvin</t>
  </si>
  <si>
    <t>MC, $142.16 due</t>
  </si>
  <si>
    <t>Due, Cody</t>
  </si>
  <si>
    <t>Deposit Only</t>
  </si>
  <si>
    <t>Conti Power Sys - resale</t>
  </si>
  <si>
    <t>$38.24 due</t>
  </si>
  <si>
    <t>Carlos G - Resale MX</t>
  </si>
  <si>
    <t>Visa, ESG - resale</t>
  </si>
  <si>
    <t>Dirty Daves - resale</t>
  </si>
  <si>
    <t>$10 cash, $20 trade</t>
  </si>
  <si>
    <t>Due, Blk Yamaha</t>
  </si>
  <si>
    <t>GL</t>
  </si>
  <si>
    <t>MC ($300 only so far)</t>
  </si>
  <si>
    <t>$90.23 due</t>
  </si>
  <si>
    <t>$140.32 due</t>
  </si>
  <si>
    <t>Addl to Inv 15760</t>
  </si>
  <si>
    <t>Due, Victor</t>
  </si>
  <si>
    <t>Trade, Soap</t>
  </si>
  <si>
    <t>Consignment only</t>
  </si>
  <si>
    <t>Jorge (Randy)</t>
  </si>
  <si>
    <t>Trade, Chris F</t>
  </si>
  <si>
    <t>Due, Oscar</t>
  </si>
  <si>
    <t>MC (Addl $81.19 CC)</t>
  </si>
  <si>
    <t>ESG Customs - resale</t>
  </si>
  <si>
    <t>Due, Roller</t>
  </si>
  <si>
    <t>Due, Sal</t>
  </si>
  <si>
    <t>Due, Carlos G</t>
  </si>
  <si>
    <t>Dons, Falfurious - resale</t>
  </si>
  <si>
    <t>Visa, $40 only pd., $18.35 due</t>
  </si>
  <si>
    <t>Pd $13.00 MC</t>
  </si>
  <si>
    <t>Carlos G</t>
  </si>
  <si>
    <t>Done Rite, resale</t>
  </si>
  <si>
    <t>Due, Honda Sabor</t>
  </si>
  <si>
    <t>Due, Carlos G. - resale</t>
  </si>
  <si>
    <t>Due, Done Rite, resale</t>
  </si>
  <si>
    <t>Test</t>
  </si>
  <si>
    <t>Gift Cert</t>
  </si>
  <si>
    <t>J.Rangel - Resale</t>
  </si>
  <si>
    <t>Due, Derick - resale</t>
  </si>
  <si>
    <t>1976 Goldwing</t>
  </si>
  <si>
    <t>Orange Yamaha</t>
  </si>
  <si>
    <t>Visa, James Ind - Resale</t>
  </si>
  <si>
    <t>Fred Riddings - resale</t>
  </si>
  <si>
    <t>$200. dep, $231.92 due</t>
  </si>
  <si>
    <t>Due, Dirty Daves - resale</t>
  </si>
  <si>
    <t>MC, $140.08 due</t>
  </si>
  <si>
    <t>$58.92 due</t>
  </si>
  <si>
    <t>$180.88 due, Visa</t>
  </si>
  <si>
    <t>Due, J.Rangel - Resale</t>
  </si>
  <si>
    <t>See Inv 16398</t>
  </si>
  <si>
    <t>1487.79 deposited</t>
  </si>
  <si>
    <t>207.76 deposited</t>
  </si>
  <si>
    <t>Visa, $250.43 due</t>
  </si>
  <si>
    <t>Visa, need to refund $46.55</t>
  </si>
  <si>
    <t>636.97 deposited</t>
  </si>
  <si>
    <t>CC Randy</t>
  </si>
  <si>
    <t>$600 after chg's, pd to Randy</t>
  </si>
  <si>
    <t>Due, 2007 Dyna</t>
  </si>
  <si>
    <t>Ref Inv 16425</t>
  </si>
  <si>
    <t>$51.55 due</t>
  </si>
  <si>
    <t>Visa, $135.71 due</t>
  </si>
  <si>
    <t>$245.32 due</t>
  </si>
  <si>
    <t>Free</t>
  </si>
  <si>
    <t>Wire</t>
  </si>
  <si>
    <t>MC, $93.48 due</t>
  </si>
  <si>
    <t>ESG Customs</t>
  </si>
  <si>
    <t>6.83 Visa</t>
  </si>
  <si>
    <t>Continental - resale</t>
  </si>
  <si>
    <t>$40.78 due</t>
  </si>
  <si>
    <t>Visa, $199.78 due</t>
  </si>
  <si>
    <t>CC</t>
  </si>
  <si>
    <t>$37.68 due, Ray</t>
  </si>
  <si>
    <t>Mike - V-Star 650</t>
  </si>
  <si>
    <t>$89.98 due</t>
  </si>
  <si>
    <t>Visa (in Sys as $609.99)</t>
  </si>
  <si>
    <t>Addl to Inv 16575</t>
  </si>
  <si>
    <t>Due, Big Jon</t>
  </si>
  <si>
    <t>Randy, $189.75+ due</t>
  </si>
  <si>
    <t>ESG Kustoms - resale</t>
  </si>
  <si>
    <t>MC, D. Young</t>
  </si>
  <si>
    <t>$91.86 Visa</t>
  </si>
  <si>
    <t>$127.59 Visa</t>
  </si>
  <si>
    <t>MC, Randy</t>
  </si>
  <si>
    <t>$10.77 Visa</t>
  </si>
  <si>
    <t>Visa, Rocker C</t>
  </si>
  <si>
    <t>MC, Vespa (Blue)</t>
  </si>
  <si>
    <t>Due, J. Rangel - resale</t>
  </si>
  <si>
    <t>$42. bal due</t>
  </si>
  <si>
    <t>MC, ESG Kustom - resale</t>
  </si>
  <si>
    <t>Check, Honda Rebel</t>
  </si>
  <si>
    <t>Due, Carlos G - resale</t>
  </si>
  <si>
    <t>312.83 ?</t>
  </si>
  <si>
    <t>J. Rangel - resale</t>
  </si>
  <si>
    <t>Due, Fred - Bike Rods, resale</t>
  </si>
  <si>
    <t>$180 cash, $36.50 MC</t>
  </si>
  <si>
    <t>Visa, ESG Customs - resale</t>
  </si>
  <si>
    <t>$161.97 due</t>
  </si>
  <si>
    <t>$94.85 MC</t>
  </si>
  <si>
    <t>Palacios - resale</t>
  </si>
  <si>
    <t>Visa, Deposit only</t>
  </si>
  <si>
    <t>Brant, Tax only</t>
  </si>
  <si>
    <t>Visa $90, $60.47 due</t>
  </si>
  <si>
    <t>Due, scooter</t>
  </si>
  <si>
    <t>Due, Honda Reflex</t>
  </si>
  <si>
    <t>Check, $26.74 due - Done Rite</t>
  </si>
  <si>
    <t>Visa, Addl to Inv 16746</t>
  </si>
  <si>
    <t>Due, Apes</t>
  </si>
  <si>
    <t>Due, J Rangel - resale</t>
  </si>
  <si>
    <t>$100 cash, $146.27 Visa</t>
  </si>
  <si>
    <t>Due, Hondamatic</t>
  </si>
  <si>
    <t>Pd to Randy</t>
  </si>
  <si>
    <t>Detail - Bobbi</t>
  </si>
  <si>
    <t>N/A, Info only</t>
  </si>
  <si>
    <t>Cln Up</t>
  </si>
  <si>
    <t>MC, $31.19 due</t>
  </si>
  <si>
    <t>Pueblo - resale</t>
  </si>
  <si>
    <t>Resale - Mexico</t>
  </si>
  <si>
    <t>Brad</t>
  </si>
  <si>
    <t>J Rangel - resale</t>
  </si>
  <si>
    <t>$10.83 MC</t>
  </si>
  <si>
    <t>MC, $57.99 due</t>
  </si>
  <si>
    <t>$42.84 due</t>
  </si>
  <si>
    <t>Visa, ESG Customs - Resale</t>
  </si>
  <si>
    <t xml:space="preserve"> J.Rangel - resale</t>
  </si>
  <si>
    <t>Visa ($51.09)</t>
  </si>
  <si>
    <t>$312.20 due</t>
  </si>
  <si>
    <t>$140.94 due</t>
  </si>
  <si>
    <t>$20 due</t>
  </si>
  <si>
    <t>Carlos G - resale</t>
  </si>
  <si>
    <t>$180.37 MC</t>
  </si>
  <si>
    <t>Visa, $87.38 due</t>
  </si>
  <si>
    <t>Brant - resale</t>
  </si>
  <si>
    <t>Due (Randy to Pay)</t>
  </si>
  <si>
    <t>$37.94 due</t>
  </si>
  <si>
    <t>$349.50 due</t>
  </si>
  <si>
    <t>$26.65 MC</t>
  </si>
  <si>
    <t>Visa, James Ind - resale</t>
  </si>
  <si>
    <t>Univ Auto Repair - resale</t>
  </si>
  <si>
    <t>Resale</t>
  </si>
  <si>
    <t>Chris F - resale, no profit</t>
  </si>
  <si>
    <t>$207. due</t>
  </si>
  <si>
    <t>N/a</t>
  </si>
  <si>
    <t>N/A</t>
  </si>
  <si>
    <t>Visa ($10.83)</t>
  </si>
  <si>
    <t>MC, Revolution - resale</t>
  </si>
  <si>
    <t>Cust mis-understanding</t>
  </si>
  <si>
    <t>Due, Pegs (Randy)</t>
  </si>
  <si>
    <t>Randy - $75. Scooter sale</t>
  </si>
  <si>
    <t>$139.59 Visa</t>
  </si>
  <si>
    <t>$200 dep Visa</t>
  </si>
  <si>
    <t>$110. Visa</t>
  </si>
  <si>
    <t>$20. due</t>
  </si>
  <si>
    <t>$100 MC, $1.76 Cash</t>
  </si>
  <si>
    <t>On Hold</t>
  </si>
  <si>
    <t>Revolution - Resale</t>
  </si>
  <si>
    <t>$245 MC, Bal Cash</t>
  </si>
  <si>
    <t>Due, Rebel</t>
  </si>
  <si>
    <t>Visa, $267.75 due</t>
  </si>
  <si>
    <t>Bike Rods - resale</t>
  </si>
  <si>
    <t>Carlos G - resale MX</t>
  </si>
  <si>
    <t>L&amp;D Outboard - resale</t>
  </si>
  <si>
    <t>$19.52 Visa, Bal cash</t>
  </si>
  <si>
    <t>$15.15 Visa</t>
  </si>
  <si>
    <t>$305.53 due</t>
  </si>
  <si>
    <t>Due, HD Dyna</t>
  </si>
  <si>
    <t>ESG Customs - Acct</t>
  </si>
  <si>
    <t>$178.72 due</t>
  </si>
  <si>
    <t>Randy, $38.71 due</t>
  </si>
  <si>
    <t>Due, Carlos G - Resale MX</t>
  </si>
  <si>
    <t>$12+ low, why?</t>
  </si>
  <si>
    <t>$34.13 MC</t>
  </si>
  <si>
    <t>Visa ($36.81), bal Store Credit</t>
  </si>
  <si>
    <t>Due, Honda 125</t>
  </si>
  <si>
    <t>Visa, Danny MotorSports - resale</t>
  </si>
  <si>
    <t>Visa, James Ind. - resale</t>
  </si>
  <si>
    <t>$565.20 Visa</t>
  </si>
  <si>
    <t>Dirty Daves, resale</t>
  </si>
  <si>
    <t>$169 due</t>
  </si>
  <si>
    <t>$114.34 due</t>
  </si>
  <si>
    <t>$313.52 due</t>
  </si>
  <si>
    <t>Adrenaline, resale</t>
  </si>
  <si>
    <t>$40.42 bal due</t>
  </si>
  <si>
    <t>$100 cash, $19.56 Visa</t>
  </si>
  <si>
    <t>$8.76 Visa</t>
  </si>
  <si>
    <t>Visa, Auto Depot - resale</t>
  </si>
  <si>
    <t>$8.57 due</t>
  </si>
  <si>
    <t>Check, Addl to Inv 17529</t>
  </si>
  <si>
    <t>Danny - resale</t>
  </si>
  <si>
    <t>$100. Cash, $7.17 Visa</t>
  </si>
  <si>
    <t>??</t>
  </si>
  <si>
    <t>$250 MC, bal cash</t>
  </si>
  <si>
    <t>Due, Street Bob</t>
  </si>
  <si>
    <t>$40 cash, $187.33 Visa</t>
  </si>
  <si>
    <t>See Inv 17630</t>
  </si>
  <si>
    <t xml:space="preserve">$240 cash, $21.97 </t>
  </si>
  <si>
    <t>Used- No tax</t>
  </si>
  <si>
    <t>Johnny - Resale</t>
  </si>
  <si>
    <t>$22.58 Due, Chgr</t>
  </si>
  <si>
    <t>Due, Vespa</t>
  </si>
  <si>
    <t>Carlos - resale MX</t>
  </si>
  <si>
    <t>Visa, $200 dep, bal due</t>
  </si>
  <si>
    <t>Backed sale out</t>
  </si>
  <si>
    <t>Due, Paul - Yamaha</t>
  </si>
  <si>
    <t>Visa, Blk HD w/LEDs</t>
  </si>
  <si>
    <t>Visa, ESG Custom - resale</t>
  </si>
  <si>
    <t>$10 cash, $6.24 Visa</t>
  </si>
  <si>
    <t>$70.73 Visa</t>
  </si>
  <si>
    <t>Gift Cert, J. Rangel</t>
  </si>
  <si>
    <t>Visa, Pd $100 down</t>
  </si>
  <si>
    <t>$117.79 due</t>
  </si>
  <si>
    <t>Due, City of McAllen</t>
  </si>
  <si>
    <t>Due, RJ (J. Rangel) - resale</t>
  </si>
  <si>
    <t>$196.53 due</t>
  </si>
  <si>
    <t>$116.50 Due</t>
  </si>
  <si>
    <t>Canciled, Chris F - resale</t>
  </si>
  <si>
    <t>MC, Douglas NT700</t>
  </si>
  <si>
    <t>Due, George - Resale</t>
  </si>
  <si>
    <t>$49.85 due</t>
  </si>
  <si>
    <t>$173.29 due</t>
  </si>
  <si>
    <t>Visa, $63.31, bal due</t>
  </si>
  <si>
    <t>Grand Total</t>
  </si>
  <si>
    <t>Due, Ref only</t>
  </si>
  <si>
    <t>MC, Continental Power - resale</t>
  </si>
  <si>
    <t>Visa, ESG Kustom - resale</t>
  </si>
  <si>
    <t>Return, RJ</t>
  </si>
  <si>
    <t>S100, Bobbi</t>
  </si>
  <si>
    <t>$194.03 due</t>
  </si>
  <si>
    <t>Peter, gift</t>
  </si>
  <si>
    <t>$174.34 due</t>
  </si>
  <si>
    <t>Trade w/Randy</t>
  </si>
  <si>
    <t>$15 only Visa</t>
  </si>
  <si>
    <t>MC, $130.68 Bal due</t>
  </si>
  <si>
    <t>$47.17 due</t>
  </si>
  <si>
    <t>Check, $132.38 due</t>
  </si>
  <si>
    <t>Visa ($117.99 Inc Detail)</t>
  </si>
  <si>
    <t>Chris SC1</t>
  </si>
  <si>
    <t>MC, Resale</t>
  </si>
  <si>
    <t>Due, ESG Customs</t>
  </si>
  <si>
    <t>$112.74 MC, $120 cash</t>
  </si>
  <si>
    <t>Pd $60 cash, $240 CC Dep</t>
  </si>
  <si>
    <t>$280 Check, $153. Visa</t>
  </si>
  <si>
    <t>Gift Cert $20, bal cash</t>
  </si>
  <si>
    <t>Visa, Addl to Inv 18299</t>
  </si>
  <si>
    <t>Addl to Inv 18319</t>
  </si>
  <si>
    <t>Visa, $98.77 due</t>
  </si>
  <si>
    <t>Johnny Custom - resale</t>
  </si>
  <si>
    <t>Visa, Dirty Daves - resale</t>
  </si>
  <si>
    <t>$125 MC, $185 Cash</t>
  </si>
  <si>
    <t>Continental Power - resale</t>
  </si>
  <si>
    <t>$3.02 Visa</t>
  </si>
  <si>
    <t>AmExp</t>
  </si>
  <si>
    <t>$160 Visa, Bal cash</t>
  </si>
  <si>
    <t>Visa, Border Pat</t>
  </si>
  <si>
    <t>$60 cash, $88.30 MC</t>
  </si>
  <si>
    <t>Due, LEDs - Blk bike</t>
  </si>
  <si>
    <t>Due, HD</t>
  </si>
  <si>
    <t>Credit 15590</t>
  </si>
  <si>
    <t>Due, w/Inv 18431</t>
  </si>
  <si>
    <t>$33.87 due</t>
  </si>
  <si>
    <t>MC, Continental - resale</t>
  </si>
  <si>
    <t>Square</t>
  </si>
  <si>
    <t>$101.76 due</t>
  </si>
  <si>
    <t>George Revolution - resale</t>
  </si>
  <si>
    <t>MC, $266.97 due</t>
  </si>
  <si>
    <t>See Inv 18491</t>
  </si>
  <si>
    <t>MC, $131.11 due</t>
  </si>
  <si>
    <t>Due, Raptor 90</t>
  </si>
  <si>
    <t>Visa, overcharged $2</t>
  </si>
  <si>
    <t>Dirty Daves - resale, $5 Visa</t>
  </si>
  <si>
    <t>$131.45 MC</t>
  </si>
  <si>
    <t>Trade, Cedrick</t>
  </si>
  <si>
    <t>($40 ($3.05 tax) subbed Chris F)</t>
  </si>
  <si>
    <t>$70 CC, bal cash</t>
  </si>
  <si>
    <t>$29. due</t>
  </si>
  <si>
    <t>Visa, $141.42 due</t>
  </si>
  <si>
    <t>Visa, Carlos G - MX sales</t>
  </si>
  <si>
    <t>$230 MC</t>
  </si>
  <si>
    <t>Due, Jet Ski</t>
  </si>
  <si>
    <t>Due, Silverwing Air Fltr</t>
  </si>
  <si>
    <t>Due, Marcos GSXR</t>
  </si>
  <si>
    <t>Due, Brad</t>
  </si>
  <si>
    <t>Re-Invoiced 18707</t>
  </si>
  <si>
    <t>Due, Raven</t>
  </si>
  <si>
    <t>Check, $734.05 Square</t>
  </si>
  <si>
    <t>$70 due</t>
  </si>
  <si>
    <t>Credit Inv 18715</t>
  </si>
  <si>
    <t>Due, Trade for Embroydery</t>
  </si>
  <si>
    <t>$139.50 due</t>
  </si>
  <si>
    <t>Visa, $136.52 due</t>
  </si>
  <si>
    <t>$80. cash, $8.77 Visa</t>
  </si>
  <si>
    <t>Trade, Chris F - resale</t>
  </si>
  <si>
    <t>$91.76 due</t>
  </si>
  <si>
    <t>With Inv 18817</t>
  </si>
  <si>
    <t>Due, Carlos G - MX Resale</t>
  </si>
  <si>
    <t>Carlos G - MX Resale</t>
  </si>
  <si>
    <t>Bike Rodz - Resale</t>
  </si>
  <si>
    <t>Visa, Dilligence Cycle - resale</t>
  </si>
  <si>
    <t>Visa, $18.90 refund due</t>
  </si>
  <si>
    <t>MC, $192.28 due</t>
  </si>
  <si>
    <t>$179.29 Due</t>
  </si>
  <si>
    <t>J.Rangel - Resale, Square</t>
  </si>
  <si>
    <t>Due, J.Rangle - resale</t>
  </si>
  <si>
    <t>Inv 18878</t>
  </si>
  <si>
    <t>Due, Blue GSXR750</t>
  </si>
  <si>
    <t>$201.61 due</t>
  </si>
  <si>
    <t>MC - Resale</t>
  </si>
  <si>
    <t>$44.65 due</t>
  </si>
  <si>
    <t>Due (Ref Inv 18963)</t>
  </si>
  <si>
    <t>Due, CBR600RR</t>
  </si>
  <si>
    <t>Ref Inv 18949</t>
  </si>
  <si>
    <t>Addl to Inv 19000</t>
  </si>
  <si>
    <t>$68.05 due</t>
  </si>
  <si>
    <t>Visa, Used, Marvin</t>
  </si>
  <si>
    <t>$59.80 due</t>
  </si>
  <si>
    <t>MC $11.85, $5 cash</t>
  </si>
  <si>
    <t>PayPay</t>
  </si>
  <si>
    <t>Visa, $157.54 due</t>
  </si>
  <si>
    <t>$273.58 due</t>
  </si>
  <si>
    <t>Ref Inv 19147</t>
  </si>
  <si>
    <t>Visa $221.37, $140 cash</t>
  </si>
  <si>
    <t>Due, CRF250L</t>
  </si>
  <si>
    <t>$24.33 Visa, Bal Cash Carlos G - Resale MX</t>
  </si>
  <si>
    <t>Visa, $114.60 due</t>
  </si>
  <si>
    <t>Visa, Carlos G - Resale MX</t>
  </si>
  <si>
    <t>Duplicate, Inv 19233</t>
  </si>
  <si>
    <t>Due, Big Dog</t>
  </si>
  <si>
    <t>Contest</t>
  </si>
  <si>
    <t>MC - J.Rangel - resale</t>
  </si>
  <si>
    <t>$116.83 due</t>
  </si>
  <si>
    <t>Check, $197.89 due (Chevo)</t>
  </si>
  <si>
    <t>$210. due</t>
  </si>
  <si>
    <t>$186.86 due</t>
  </si>
  <si>
    <t>Visa $89.49 due</t>
  </si>
  <si>
    <t>$237.38 due</t>
  </si>
  <si>
    <t>Visa, G&amp;S Repair - resale</t>
  </si>
  <si>
    <t>Visa $110., Bal cash</t>
  </si>
  <si>
    <t>Due, 1999 Yam</t>
  </si>
  <si>
    <t>$295.74 Square</t>
  </si>
  <si>
    <t>Due, GSX-R750</t>
  </si>
  <si>
    <t>Due, OT Deleon</t>
  </si>
  <si>
    <t>Due, Buel (Pd?)</t>
  </si>
  <si>
    <t>$7.06 CC, bal cash</t>
  </si>
  <si>
    <t>$97.23 Visa, $260. cash</t>
  </si>
  <si>
    <t>J.Rangel- resale</t>
  </si>
  <si>
    <t>Due, J.Rangel- resale</t>
  </si>
  <si>
    <t>$207.33 due</t>
  </si>
  <si>
    <t>Check 2888</t>
  </si>
  <si>
    <t>$148.43 due</t>
  </si>
  <si>
    <t>Due, Mirrors</t>
  </si>
  <si>
    <t>Due, Done Rite</t>
  </si>
  <si>
    <t>$5.47 due</t>
  </si>
  <si>
    <t>Addl to Inv 19332</t>
  </si>
  <si>
    <t>Due, FR tire</t>
  </si>
  <si>
    <t>Due, Addl to Inv 19500</t>
  </si>
  <si>
    <t>Visa, $117 due</t>
  </si>
  <si>
    <t>MC, Joe Rangel - resale</t>
  </si>
  <si>
    <t>Duplicate Inv #19496</t>
  </si>
  <si>
    <t>Visa, $229.42 due</t>
  </si>
  <si>
    <t>Due, Boatman</t>
  </si>
  <si>
    <t>Visa, Carlos G - resale</t>
  </si>
  <si>
    <t>$33.50 Square / $32.58</t>
  </si>
  <si>
    <t>Due, Daniel, Yamaha, add Detail</t>
  </si>
  <si>
    <t>due</t>
  </si>
  <si>
    <t>Didn't sell</t>
  </si>
  <si>
    <t>Deposit &amp; Returned</t>
  </si>
  <si>
    <t>$50.47 due</t>
  </si>
  <si>
    <t>$100 cash, $253.98 Visa</t>
  </si>
  <si>
    <t>$109.46 due</t>
  </si>
  <si>
    <t>Trade, Revolution - resale, $13.50 due</t>
  </si>
  <si>
    <t>Due, Carlos G - Mexico</t>
  </si>
  <si>
    <t>Due, Mich Tires</t>
  </si>
  <si>
    <t>Due, Able Softail oil chg.</t>
  </si>
  <si>
    <t>Universal Auto - resale</t>
  </si>
  <si>
    <t>Visa, $209.19 due</t>
  </si>
  <si>
    <t>$244.24 Due</t>
  </si>
  <si>
    <t>$43.95 Due</t>
  </si>
  <si>
    <t>Visa, $203 due</t>
  </si>
  <si>
    <t>Due, XL1200</t>
  </si>
  <si>
    <t>$30.73 Due, Rollar</t>
  </si>
  <si>
    <t>Visa, Ship to Washington</t>
  </si>
  <si>
    <t>Auto Mart - (Fred) resale</t>
  </si>
  <si>
    <t>Diligence Cycles - resale</t>
  </si>
  <si>
    <t>$4.54 Visa</t>
  </si>
  <si>
    <t>George - Revolution, resale</t>
  </si>
  <si>
    <t>Ana</t>
  </si>
  <si>
    <t>Acct</t>
  </si>
  <si>
    <t>Visa, $60 due</t>
  </si>
  <si>
    <t>Due, Don, Falfurious</t>
  </si>
  <si>
    <t>Due, FatBoy Windshield</t>
  </si>
  <si>
    <t>Due, Grn Kaw dirt bike</t>
  </si>
  <si>
    <t>Due, YZ80</t>
  </si>
  <si>
    <t>Square, YZ85</t>
  </si>
  <si>
    <t>Square, HD</t>
  </si>
  <si>
    <t>$200 Visa, $214.60 due</t>
  </si>
  <si>
    <t>MC, Dons - Falfurious</t>
  </si>
  <si>
    <t>PayPal, $63.45 due</t>
  </si>
  <si>
    <t>$174.41 due</t>
  </si>
  <si>
    <t>Due, Chris (Grandson)</t>
  </si>
  <si>
    <t>MC, $213.31 due</t>
  </si>
  <si>
    <t>Square, $187.48 due</t>
  </si>
  <si>
    <t>Visa, Dirty Daves</t>
  </si>
  <si>
    <t>Don, Falfurious - resale</t>
  </si>
  <si>
    <t>Due, Alex</t>
  </si>
  <si>
    <t>$56.96 Visa</t>
  </si>
  <si>
    <t>MC, $129.83 Due</t>
  </si>
  <si>
    <t>MC, Revolution</t>
  </si>
  <si>
    <t>MC, $315.94 due</t>
  </si>
  <si>
    <t>MC, $398.42 due</t>
  </si>
  <si>
    <t>Visa, $255 deposit</t>
  </si>
  <si>
    <t>Check, Deposit only</t>
  </si>
  <si>
    <t>Due, RJ - resale</t>
  </si>
  <si>
    <t>Adrenaline - resale</t>
  </si>
  <si>
    <t>Due, Brk Line</t>
  </si>
  <si>
    <t>Due, Chaser</t>
  </si>
  <si>
    <t>$35.37 MC</t>
  </si>
  <si>
    <t>$15 due</t>
  </si>
  <si>
    <t>Visa, $219.86 due</t>
  </si>
  <si>
    <t>Check, $216.56 due</t>
  </si>
  <si>
    <t>$78.60 MC</t>
  </si>
  <si>
    <t>$200 MC</t>
  </si>
  <si>
    <t>Check, Resale cert on file</t>
  </si>
  <si>
    <t>Trade, ESG - resale</t>
  </si>
  <si>
    <t>Pegs, deposit only</t>
  </si>
  <si>
    <t>$63.93 due 7/12</t>
  </si>
  <si>
    <t>Battery under warranty</t>
  </si>
  <si>
    <t>Square, $100</t>
  </si>
  <si>
    <t>$166.56 due</t>
  </si>
  <si>
    <t>Due, Shadow</t>
  </si>
  <si>
    <t>Pd $75</t>
  </si>
  <si>
    <t>$124.21 due</t>
  </si>
  <si>
    <t>Due, Don - Falfurious</t>
  </si>
  <si>
    <t>Joe Rangel - Resale</t>
  </si>
  <si>
    <t>Due, B&amp;D our neighborhood</t>
  </si>
  <si>
    <t>Due, FR 21in &amp; Detail</t>
  </si>
  <si>
    <t>Chris F, resale</t>
  </si>
  <si>
    <t>$107 due</t>
  </si>
  <si>
    <t>$155.06 Due</t>
  </si>
  <si>
    <t>Due, KLR650</t>
  </si>
  <si>
    <t>Due, Peter E</t>
  </si>
  <si>
    <t>Due, Silver Kaw</t>
  </si>
  <si>
    <t>Check, No Tax - estimate</t>
  </si>
  <si>
    <t>$204.22 Square Pd (?)</t>
  </si>
  <si>
    <t>Square, $105.88 Due</t>
  </si>
  <si>
    <t>Riddings - resale</t>
  </si>
  <si>
    <t>$131.66 MC</t>
  </si>
  <si>
    <t>Due, Fred DL650</t>
  </si>
  <si>
    <t>Not run, unless Square :(</t>
  </si>
  <si>
    <t>$50. due</t>
  </si>
  <si>
    <t>$21.30 due</t>
  </si>
  <si>
    <t>$165 Square, Bal Cash</t>
  </si>
  <si>
    <t>Due, Addl to Inv 20506</t>
  </si>
  <si>
    <t>Due, Addl to 19343</t>
  </si>
  <si>
    <t>Due, Busa</t>
  </si>
  <si>
    <t>Due, Cedric</t>
  </si>
  <si>
    <t>Due, Doug Young</t>
  </si>
  <si>
    <t>Visa, $203.13 due</t>
  </si>
  <si>
    <t>$114.75 / $111.59 Square</t>
  </si>
  <si>
    <t>$100 Cash, $32.07 MC</t>
  </si>
  <si>
    <t>Apply $276 to owed</t>
  </si>
  <si>
    <t>$139 due</t>
  </si>
  <si>
    <t>Ref only</t>
  </si>
  <si>
    <t>$99.72 Visa</t>
  </si>
  <si>
    <t>Visa, G&amp;F - resale</t>
  </si>
  <si>
    <t>Used HD Sissy-Bar</t>
  </si>
  <si>
    <t>Didn't Fit</t>
  </si>
  <si>
    <t>PayPal</t>
  </si>
  <si>
    <t>Chris F - resale, $200. Square</t>
  </si>
  <si>
    <t>Due, Addl to Inv 20165</t>
  </si>
  <si>
    <t>$117.64 due</t>
  </si>
  <si>
    <t>Due, Elvin</t>
  </si>
  <si>
    <t>Honda, Fuel Tank</t>
  </si>
  <si>
    <t>Visa, Square $182.64</t>
  </si>
  <si>
    <t>Est $770.86 due</t>
  </si>
  <si>
    <t>$65.31 Due</t>
  </si>
  <si>
    <t>$386 Due</t>
  </si>
  <si>
    <t>$105.88 Square</t>
  </si>
  <si>
    <t>Square, Joe Rangel - resale</t>
  </si>
  <si>
    <t>Square, ESG Customs - resale</t>
  </si>
  <si>
    <t>(Also Pd $50 Detail)</t>
  </si>
  <si>
    <t>Visa, ESG Resale</t>
  </si>
  <si>
    <t>Dirty Daves - Resale</t>
  </si>
  <si>
    <t>Used</t>
  </si>
  <si>
    <t>MC, Revolution - Resale</t>
  </si>
  <si>
    <t>Visa, Border Patrol - No tax</t>
  </si>
  <si>
    <t>Canciled</t>
  </si>
  <si>
    <t>Due, Kaw 800</t>
  </si>
  <si>
    <t>Visa, $126.24 due</t>
  </si>
  <si>
    <t>Visa, $26.29 due</t>
  </si>
  <si>
    <t>Visa, Carlos G - MX resale</t>
  </si>
  <si>
    <t>Invoiced with Customer</t>
  </si>
  <si>
    <t>Square, Revolution - resale</t>
  </si>
  <si>
    <t>Visa, Carlos G - resale MX</t>
  </si>
  <si>
    <t>Trade, J.Rangel - Resale</t>
  </si>
  <si>
    <t>$94.49 Visa</t>
  </si>
  <si>
    <t>$80.11 Square</t>
  </si>
  <si>
    <t>$58.46 Square</t>
  </si>
  <si>
    <t>Visa, $227.02 due</t>
  </si>
  <si>
    <t>Credit 20864, Bal Cash</t>
  </si>
  <si>
    <t xml:space="preserve">Square </t>
  </si>
  <si>
    <t>$200 cash, $250 Visa</t>
  </si>
  <si>
    <t>Due, Addl to Pauls tire</t>
  </si>
  <si>
    <t>Pegs, $118.91 + Lbr Due</t>
  </si>
  <si>
    <t>$45.46 Visa, Bal Cash</t>
  </si>
  <si>
    <t>Addl to Inv 20946</t>
  </si>
  <si>
    <t>$200 pd Visa, Bal Due</t>
  </si>
  <si>
    <t>Visa, $178.74 Due</t>
  </si>
  <si>
    <t>$26 Visa, Bal Cash</t>
  </si>
  <si>
    <t>$170.24 due</t>
  </si>
  <si>
    <t>Check, $2.39 due</t>
  </si>
  <si>
    <t>Visa, Revolution - resale</t>
  </si>
  <si>
    <t>Visa, Border patrol</t>
  </si>
  <si>
    <t>Battery Warranty</t>
  </si>
  <si>
    <t>Square, $218.72 due</t>
  </si>
  <si>
    <t>Due, Brandon</t>
  </si>
  <si>
    <t>Visa, $224.34 bal</t>
  </si>
  <si>
    <t>$97.99 Visa</t>
  </si>
  <si>
    <t>Pd $100 Cash, $67.25 Visa</t>
  </si>
  <si>
    <t>Fred, The Auto Mart, resale</t>
  </si>
  <si>
    <t>Joe R, resale</t>
  </si>
  <si>
    <t>$47.12 due</t>
  </si>
  <si>
    <t>$243.28 due</t>
  </si>
  <si>
    <t>$29.02 due - Elvin</t>
  </si>
  <si>
    <t>Due, Continental - resale</t>
  </si>
  <si>
    <t>AmExp, McAllen MotorSports</t>
  </si>
  <si>
    <t>$12.15 Due</t>
  </si>
  <si>
    <t>$210. Visa, $119.08 due</t>
  </si>
  <si>
    <t>$159. AmExp, $41 due</t>
  </si>
  <si>
    <t>Due, Chris F - Resale</t>
  </si>
  <si>
    <t>Due, Joe R, resale</t>
  </si>
  <si>
    <t>Check 0902</t>
  </si>
  <si>
    <t>Due, Addl to 21185</t>
  </si>
  <si>
    <t>Due, VIP Scooter</t>
  </si>
  <si>
    <t>$200 due</t>
  </si>
  <si>
    <t>J.Rangel, resale</t>
  </si>
  <si>
    <t>Due, RJ - TWK resale</t>
  </si>
  <si>
    <t>Visa, $152.95 due</t>
  </si>
  <si>
    <t>$50 deposit only</t>
  </si>
  <si>
    <t>Visa, $287.13 due</t>
  </si>
  <si>
    <t>$160.52 / $139.24 Square</t>
  </si>
  <si>
    <t>$35.29 Square</t>
  </si>
  <si>
    <t>Conti - resale</t>
  </si>
  <si>
    <t>Johnny Customs</t>
  </si>
  <si>
    <t>Continental Power - Resale</t>
  </si>
  <si>
    <t>Visa ($100), Square ($278.20)</t>
  </si>
  <si>
    <t>Return, Conti Power - Resale</t>
  </si>
  <si>
    <t>Due, Vincent HD</t>
  </si>
  <si>
    <t>Due, Addl to Inv 21311</t>
  </si>
  <si>
    <t>$356.57 Square</t>
  </si>
  <si>
    <t>J.Rangel - resale, $90 due</t>
  </si>
  <si>
    <t>Visa, $236.40 Due</t>
  </si>
  <si>
    <t>$128.82 Square</t>
  </si>
  <si>
    <t>Due, Rebel 250</t>
  </si>
  <si>
    <t>Due, Sportster Levers</t>
  </si>
  <si>
    <t>BBG Resale</t>
  </si>
  <si>
    <t>Due, Shawn</t>
  </si>
  <si>
    <t>$391.87 Square</t>
  </si>
  <si>
    <t>Johnny's Customs - resale</t>
  </si>
  <si>
    <t>$254.41 Square</t>
  </si>
  <si>
    <t>$308.51 Square</t>
  </si>
  <si>
    <t>Visa, $131.01 due</t>
  </si>
  <si>
    <t>Due, Chinese John Wayne</t>
  </si>
  <si>
    <t>$153.87 Square</t>
  </si>
  <si>
    <t>Due, Wht LEDs</t>
  </si>
  <si>
    <t>Due, Elvin - All Due</t>
  </si>
  <si>
    <t>$3 credit towards detail</t>
  </si>
  <si>
    <t>$233.83 Square</t>
  </si>
  <si>
    <t>Joe R - TWT resale</t>
  </si>
  <si>
    <t>$271.11 Square</t>
  </si>
  <si>
    <t>$213.79 Square</t>
  </si>
  <si>
    <t xml:space="preserve">Visa </t>
  </si>
  <si>
    <t>Due, Elite scooter</t>
  </si>
  <si>
    <t>$150 Visa, $39.98 Cash</t>
  </si>
  <si>
    <t>Square, $224.21 Due</t>
  </si>
  <si>
    <t>Check, Carlos G - MX</t>
  </si>
  <si>
    <t>Visa, $110.24 due</t>
  </si>
  <si>
    <t>$757.42 Square</t>
  </si>
  <si>
    <t>$122.12 Due</t>
  </si>
  <si>
    <t>Am Exp</t>
  </si>
  <si>
    <t>$111.50 Square</t>
  </si>
  <si>
    <t>Trade, Jim</t>
  </si>
  <si>
    <t>Addl to Inv 21604</t>
  </si>
  <si>
    <t>MC, Pueblo</t>
  </si>
  <si>
    <t>$140.10 Square</t>
  </si>
  <si>
    <t>$259.80 Square</t>
  </si>
  <si>
    <t>Due, Joe R - resale</t>
  </si>
  <si>
    <t>$74.82 Due</t>
  </si>
  <si>
    <t>Visa, $104.59 due</t>
  </si>
  <si>
    <t>$85 bal due</t>
  </si>
  <si>
    <t>Elvin - $50 due</t>
  </si>
  <si>
    <t>$100 cash / $479 Visa</t>
  </si>
  <si>
    <t>Warranty</t>
  </si>
  <si>
    <t>MC, $224. due</t>
  </si>
  <si>
    <t>Used Parts - $110 due</t>
  </si>
  <si>
    <t>Return - Ref Inv 21624</t>
  </si>
  <si>
    <t>$250 Visa, $11.42 due</t>
  </si>
  <si>
    <t>$32.69 Due, Chevo</t>
  </si>
  <si>
    <t>Joe R - resale</t>
  </si>
  <si>
    <t>Addl to Inv 21656</t>
  </si>
  <si>
    <t>$203.57 due</t>
  </si>
  <si>
    <t>Labor</t>
  </si>
  <si>
    <t>Due, 1985 Honda</t>
  </si>
  <si>
    <t>Square, chg due</t>
  </si>
  <si>
    <t>Visa, $190 due</t>
  </si>
  <si>
    <t>Square, $39.64 due</t>
  </si>
  <si>
    <t>Due, Chris (Hon &amp; Yamaha)</t>
  </si>
  <si>
    <t>Due, Addl to Inv 21771</t>
  </si>
  <si>
    <t>Ref Inv 21099</t>
  </si>
  <si>
    <t>$257.09 Square</t>
  </si>
  <si>
    <t>$329.86 Square</t>
  </si>
  <si>
    <t>Cancelled, J.Rangel - resale</t>
  </si>
  <si>
    <t>Am Exp, $162.40 due</t>
  </si>
  <si>
    <t>$200 Cash, $72.79 Visa</t>
  </si>
  <si>
    <t>$45 Cash, $145.41 Visa</t>
  </si>
  <si>
    <t>Visa, resale</t>
  </si>
  <si>
    <t>$30 Visa, Bal Cash</t>
  </si>
  <si>
    <t>$231.79 Square, $100 cash Dep</t>
  </si>
  <si>
    <t>See Inv 22001</t>
  </si>
  <si>
    <t>Visa, $17.09 due</t>
  </si>
  <si>
    <t>Chris F - Trade, resale</t>
  </si>
  <si>
    <t>Due, Arron Blvd</t>
  </si>
  <si>
    <t>$135.04 $117.16 Square</t>
  </si>
  <si>
    <t>Visa, ESG Kustoms - resale</t>
  </si>
  <si>
    <t>Due, Battery</t>
  </si>
  <si>
    <t>$191.73 Visa</t>
  </si>
  <si>
    <t>$14 Square</t>
  </si>
  <si>
    <t>$28.95 due</t>
  </si>
  <si>
    <t>$257.34 / $231.90 Square</t>
  </si>
  <si>
    <t>MC, $98.46 due</t>
  </si>
  <si>
    <t>$90.94 /$78.89 Square</t>
  </si>
  <si>
    <t>Border Patrol - Visa</t>
  </si>
  <si>
    <t>L&amp;D, (Boatman) - resale</t>
  </si>
  <si>
    <t>$161.24 Square</t>
  </si>
  <si>
    <t>$164.90 due, Chevo</t>
  </si>
  <si>
    <t>$36.37 / $31.55 Square</t>
  </si>
  <si>
    <t>Brandon - resale</t>
  </si>
  <si>
    <t>$307.97 / $267.16 Square</t>
  </si>
  <si>
    <t>Continental Pwr - resale</t>
  </si>
  <si>
    <t>$558.58 / $484.57 Square</t>
  </si>
  <si>
    <t>Triumph 1</t>
  </si>
  <si>
    <t>Triumph 2</t>
  </si>
  <si>
    <t>$43.87 due</t>
  </si>
  <si>
    <t>$151.55 / $Square</t>
  </si>
  <si>
    <t>$250.45 Square</t>
  </si>
  <si>
    <t>$145.84 due</t>
  </si>
  <si>
    <t>$56.14 due</t>
  </si>
  <si>
    <t>Trade, ESG Customs - resale</t>
  </si>
  <si>
    <t>$16.50 due</t>
  </si>
  <si>
    <t>J. Rangel - Resale</t>
  </si>
  <si>
    <t>$300 cash, $76.71 MC</t>
  </si>
  <si>
    <t>Carlos G, MX - resale</t>
  </si>
  <si>
    <t>Due, GL1500</t>
  </si>
  <si>
    <t>$293.15 Due</t>
  </si>
  <si>
    <t>Due, Honda CBR</t>
  </si>
  <si>
    <t>Inv 21869, $795 due</t>
  </si>
  <si>
    <t>Dis</t>
  </si>
  <si>
    <t>$733.21 Square</t>
  </si>
  <si>
    <t>$120.96 due</t>
  </si>
  <si>
    <t>$336.25 Due</t>
  </si>
  <si>
    <t>$159.13 Square</t>
  </si>
  <si>
    <t>Continental - Resale</t>
  </si>
  <si>
    <t>Visa, $52.01 due</t>
  </si>
  <si>
    <t>AmExp, ESG - resale</t>
  </si>
  <si>
    <t>$8.71 due</t>
  </si>
  <si>
    <t>AmExp, $124.49 due</t>
  </si>
  <si>
    <t>Visa, $496.05 due</t>
  </si>
  <si>
    <t>$148.98 due</t>
  </si>
  <si>
    <t>Visa, $129.39 due</t>
  </si>
  <si>
    <t>$205.68 Square</t>
  </si>
  <si>
    <t>Due, Carlos G - Resale</t>
  </si>
  <si>
    <t>$0.00 Square</t>
  </si>
  <si>
    <t xml:space="preserve">Due </t>
  </si>
  <si>
    <t>$41.14 Square</t>
  </si>
  <si>
    <t>OK</t>
  </si>
  <si>
    <t>MC, Bal $108.92 due</t>
  </si>
  <si>
    <t>JS Services - resale</t>
  </si>
  <si>
    <t>Visa, $270. due</t>
  </si>
  <si>
    <t>MO</t>
  </si>
  <si>
    <t>$518.78 due</t>
  </si>
  <si>
    <t>Rudy</t>
  </si>
  <si>
    <t>$1129.22 Square</t>
  </si>
  <si>
    <t>$89.44 due</t>
  </si>
  <si>
    <t>Visa, $174.14 due</t>
  </si>
  <si>
    <t>Due, Jim</t>
  </si>
  <si>
    <t>$151.58 Due</t>
  </si>
  <si>
    <t>Trade, Revolution - resale</t>
  </si>
  <si>
    <t>MC, ESG Customs - resale</t>
  </si>
  <si>
    <t>Visa, $98.64 due</t>
  </si>
  <si>
    <t>Conti Power - resale</t>
  </si>
  <si>
    <t>$1111.06 Square</t>
  </si>
  <si>
    <t>$40 credit 4 carb / $200 pd</t>
  </si>
  <si>
    <t>Visa, Prior $200 Dep</t>
  </si>
  <si>
    <t>$312.30 Square</t>
  </si>
  <si>
    <t>$100 Cash, $80 Square</t>
  </si>
  <si>
    <t>$80.00 Square</t>
  </si>
  <si>
    <t>Due, ESG Customs - Resale</t>
  </si>
  <si>
    <t>Visa, Chris F - Resale</t>
  </si>
  <si>
    <t>Due, MX Resale</t>
  </si>
  <si>
    <t>$552.72 Square</t>
  </si>
  <si>
    <t>Due, C.Fantich - resale</t>
  </si>
  <si>
    <t>$88.56 Due</t>
  </si>
  <si>
    <t>$556.41 Square</t>
  </si>
  <si>
    <t>$148.36 due</t>
  </si>
  <si>
    <t>Visa - on 24th</t>
  </si>
  <si>
    <t>Due, Ducati</t>
  </si>
  <si>
    <t>Visa, Border Patrol - no Tax</t>
  </si>
  <si>
    <t>Due, Palacios - resale</t>
  </si>
  <si>
    <t>$183 due</t>
  </si>
  <si>
    <t>Ref Inv 22542 &amp; 22543</t>
  </si>
  <si>
    <t>Due, George, Revolution - resale</t>
  </si>
  <si>
    <t>Square, $132.48 due</t>
  </si>
  <si>
    <t>$716.57 Square</t>
  </si>
  <si>
    <t>$680.89 Square</t>
  </si>
  <si>
    <t>Visa, Labor only</t>
  </si>
  <si>
    <t>$208.43 bal due</t>
  </si>
  <si>
    <t>Visa, $166.50 due</t>
  </si>
  <si>
    <t>Visa, $30.68</t>
  </si>
  <si>
    <t>$407.28 Square</t>
  </si>
  <si>
    <t>Due, leaking tranny</t>
  </si>
  <si>
    <t>Due, FR brakes</t>
  </si>
  <si>
    <t>$388.24 Square</t>
  </si>
  <si>
    <t>$153.85 due</t>
  </si>
  <si>
    <t>Square, resale</t>
  </si>
  <si>
    <t>$115.34 Square</t>
  </si>
  <si>
    <t>$390.78 Square</t>
  </si>
  <si>
    <t>Visa, $370.48+ due</t>
  </si>
  <si>
    <t>$147.31 Square</t>
  </si>
  <si>
    <t>$30 due, TWT resale</t>
  </si>
  <si>
    <t>Visa, $190.37 Cash</t>
  </si>
  <si>
    <t>MC, $173.46 due</t>
  </si>
  <si>
    <t>$80 due</t>
  </si>
  <si>
    <t>$200 cash, $100 CC</t>
  </si>
  <si>
    <t>Due, Drvg Lts, Sissy Bar</t>
  </si>
  <si>
    <t>$373. due</t>
  </si>
  <si>
    <t>$380 due, cash only</t>
  </si>
  <si>
    <t>$478.47 Square</t>
  </si>
  <si>
    <t>Conti Power Systems</t>
  </si>
  <si>
    <t>Visa, $112.84 due</t>
  </si>
  <si>
    <t>$295 due</t>
  </si>
  <si>
    <t>Due, Conti Power Systems</t>
  </si>
  <si>
    <t>$551.5 Square</t>
  </si>
  <si>
    <t>Due, Ninja 650</t>
  </si>
  <si>
    <t>Due, Gene XL883</t>
  </si>
  <si>
    <t>$28 due</t>
  </si>
  <si>
    <t>Trade, George - Revolution</t>
  </si>
  <si>
    <t>Due, George - Revolution</t>
  </si>
  <si>
    <t>Due, Cici</t>
  </si>
  <si>
    <t>Due, Jack - Mich tires</t>
  </si>
  <si>
    <t>Visa, ESG Kustoms</t>
  </si>
  <si>
    <t xml:space="preserve">Due, </t>
  </si>
  <si>
    <t>$40cash, $79.08 MC</t>
  </si>
  <si>
    <t>(Info only for Inv 22914)</t>
  </si>
  <si>
    <t>$509.86 Square</t>
  </si>
  <si>
    <t>Gift Cert, $15.01 due</t>
  </si>
  <si>
    <t>$502.83 Square</t>
  </si>
  <si>
    <t>Due, Revolution - Resale</t>
  </si>
  <si>
    <t>$86.60 Square</t>
  </si>
  <si>
    <t>Due, Lee - w/Inv 22923</t>
  </si>
  <si>
    <t>Visa, Border Patrol - no tax</t>
  </si>
  <si>
    <t>Jeff - Deposit only</t>
  </si>
  <si>
    <t>Due, Blue HD</t>
  </si>
  <si>
    <t>$545.12 Square</t>
  </si>
  <si>
    <t>$118.80 due</t>
  </si>
  <si>
    <t>Due, Addl to 22952 &amp; 22931</t>
  </si>
  <si>
    <t>Due, Ult Cycle Ctr - resale</t>
  </si>
  <si>
    <t>$235.99 Square</t>
  </si>
  <si>
    <t>Elvin, See Inv 23020</t>
  </si>
  <si>
    <t>$84.16 Square</t>
  </si>
  <si>
    <t>$34.70 Visa, $28.19 Disc, Bal cash</t>
  </si>
  <si>
    <t>$105 Due</t>
  </si>
  <si>
    <t>$471.97 Square</t>
  </si>
  <si>
    <t>Visa, $45.52 due</t>
  </si>
  <si>
    <t>$194.65 due</t>
  </si>
  <si>
    <t>$210.55 Square</t>
  </si>
  <si>
    <t>$95 due</t>
  </si>
  <si>
    <t>$100 cash, $19.08 Visa</t>
  </si>
  <si>
    <t>$127.79 Square</t>
  </si>
  <si>
    <t>AmEx</t>
  </si>
  <si>
    <t>Check, Ultimate Cycles - resale</t>
  </si>
  <si>
    <t>Due (Steven)</t>
  </si>
  <si>
    <t>Due, Charles (Cici)</t>
  </si>
  <si>
    <t>Ref Inv 20130 - Return</t>
  </si>
  <si>
    <t>$200.81 Square</t>
  </si>
  <si>
    <t>Visa, Joe R - resale</t>
  </si>
  <si>
    <t>$421.71 Square</t>
  </si>
  <si>
    <t>$8.61 MC</t>
  </si>
  <si>
    <t>$560 due, Cash</t>
  </si>
  <si>
    <t>Due, Albert - CBR 600</t>
  </si>
  <si>
    <t>$268.05 due</t>
  </si>
  <si>
    <t>AmExp, $104.59 due</t>
  </si>
  <si>
    <t>$103.88 due</t>
  </si>
  <si>
    <t>$100 cash, $143.83 Visa</t>
  </si>
  <si>
    <t>Due, Addl to Inv 23066</t>
  </si>
  <si>
    <t>Visa, $289.70 due</t>
  </si>
  <si>
    <t>Visa, $252.08 due</t>
  </si>
  <si>
    <t>$224.62 Square</t>
  </si>
  <si>
    <t>Ultimate - resale</t>
  </si>
  <si>
    <t>Visa, ESG Customs</t>
  </si>
  <si>
    <t>$20 Visa, Bal Cash</t>
  </si>
  <si>
    <t>$368.03 Square</t>
  </si>
  <si>
    <t>$289.70 Square</t>
  </si>
  <si>
    <t>Discover, $73.20 due</t>
  </si>
  <si>
    <t>$530.97 Square</t>
  </si>
  <si>
    <t>$498.89 due</t>
  </si>
  <si>
    <t>$160. due</t>
  </si>
  <si>
    <t>$100 Visa, $222.04 due</t>
  </si>
  <si>
    <t>$12 due</t>
  </si>
  <si>
    <t>$404.18 Square</t>
  </si>
  <si>
    <t>Visa, $101.32 due</t>
  </si>
  <si>
    <t>Due, Ernest</t>
  </si>
  <si>
    <t>Am Exp, Deposit only</t>
  </si>
  <si>
    <t>Due, Addl to Inv 23223</t>
  </si>
  <si>
    <t>$644.92 Square</t>
  </si>
  <si>
    <t>AmExp, $128.43 due</t>
  </si>
  <si>
    <t>$67.43 due</t>
  </si>
  <si>
    <t>$437.43 Square</t>
  </si>
  <si>
    <t>Quote only</t>
  </si>
  <si>
    <t>Due, ESG Custom - resale</t>
  </si>
  <si>
    <t>Due, Blk HD</t>
  </si>
  <si>
    <t>Square, $142.18 + due</t>
  </si>
  <si>
    <t>$347.43 Square</t>
  </si>
  <si>
    <t>$70 cash, Bal MC</t>
  </si>
  <si>
    <t>(Addl to Inv 23337)</t>
  </si>
  <si>
    <t>$199.00 Square</t>
  </si>
  <si>
    <t>Due, HD Bat to Deliver</t>
  </si>
  <si>
    <t>Due, Oscar Battery</t>
  </si>
  <si>
    <t>$91.96 Square</t>
  </si>
  <si>
    <t>Due, George - revolution, resale</t>
  </si>
  <si>
    <t>$178 bal due</t>
  </si>
  <si>
    <t>Visa, Addl to Inv 23306</t>
  </si>
  <si>
    <t>$240 due, Steven</t>
  </si>
  <si>
    <t>Square, $169.34 Due</t>
  </si>
  <si>
    <t>$150.00 Square</t>
  </si>
  <si>
    <t>Visa, $134. due</t>
  </si>
  <si>
    <t>MC, $44.27 due</t>
  </si>
  <si>
    <t>Due, OT DeLeon</t>
  </si>
  <si>
    <t>$759.38 Square</t>
  </si>
  <si>
    <t>(Same as Monday, forgot to run Sat)</t>
  </si>
  <si>
    <t>$100 Deposit only</t>
  </si>
  <si>
    <t>MC, $53.04 due</t>
  </si>
  <si>
    <t>Visa, $285.68 Square</t>
  </si>
  <si>
    <t>$321.15 due</t>
  </si>
  <si>
    <t>Derick - Resale</t>
  </si>
  <si>
    <t>Due, Derick - Resale</t>
  </si>
  <si>
    <t>$136.46 Square</t>
  </si>
  <si>
    <t>Trade, Mustang wheels</t>
  </si>
  <si>
    <t>Due, Carlos G - resale, MX</t>
  </si>
  <si>
    <t>$111.29 due</t>
  </si>
  <si>
    <t>$87.84 due</t>
  </si>
  <si>
    <t>$292 Due</t>
  </si>
  <si>
    <t>$170 due</t>
  </si>
  <si>
    <t>$285.68 Square</t>
  </si>
  <si>
    <t>$70 cash, $10 Visa</t>
  </si>
  <si>
    <t>$264.39 due</t>
  </si>
  <si>
    <t>$378.88 Square</t>
  </si>
  <si>
    <t>Trade, John</t>
  </si>
  <si>
    <t>Due, Honda Magna</t>
  </si>
  <si>
    <t>$25.98 Square</t>
  </si>
  <si>
    <t>Due, George - resale</t>
  </si>
  <si>
    <t>Visa, $118.67 due</t>
  </si>
  <si>
    <t>Visa, $319.60 due</t>
  </si>
  <si>
    <t>$165.42 Due</t>
  </si>
  <si>
    <t>$158.04 Square</t>
  </si>
  <si>
    <t>$140.00 Square</t>
  </si>
  <si>
    <t>$233.75 Square</t>
  </si>
  <si>
    <t>($100 deposit only)</t>
  </si>
  <si>
    <t>$754.50 Square</t>
  </si>
  <si>
    <t>$265.00 Square</t>
  </si>
  <si>
    <t>$10.31 due</t>
  </si>
  <si>
    <t>$900 MC, Ref only</t>
  </si>
  <si>
    <t>$184.64 Square</t>
  </si>
  <si>
    <t>Due, Lee Z - Cash only</t>
  </si>
  <si>
    <t>Pd $100 cash deposit</t>
  </si>
  <si>
    <t>Visa, $207.33 due</t>
  </si>
  <si>
    <t>$220 Cash, $23 Visa</t>
  </si>
  <si>
    <t>Visa, ESG - Resale</t>
  </si>
  <si>
    <t>Pd $200 Visa, Bal Due</t>
  </si>
  <si>
    <t>Processed 27th</t>
  </si>
  <si>
    <t>Due, Ninja 300</t>
  </si>
  <si>
    <t>$485.93 Square</t>
  </si>
  <si>
    <t>Due, Brant</t>
  </si>
  <si>
    <t>$131.11 due</t>
  </si>
  <si>
    <t>$127 Due</t>
  </si>
  <si>
    <t>$465.58 Square</t>
  </si>
  <si>
    <t>$75 Visa, $202.66 due</t>
  </si>
  <si>
    <t>$40 AmExp, $282.59 due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</si>
</sst>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164" formatCode="&quot;$&quot;#,##0.00"/>
    <numFmt numFmtId="165" formatCode="&quot;$&quot;#,##0"/>
  </numFmts>
  <fonts count="43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rgb="FF00B050"/>
      <name val="Arial"/>
      <family val="2"/>
    </font>
    <font>
      <sz val="8"/>
      <color indexed="55"/>
      <name val="Arial"/>
      <family val="2"/>
    </font>
    <font>
      <sz val="8"/>
      <color indexed="17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i/>
      <sz val="24"/>
      <name val="Copperplate Gothic Bold"/>
      <family val="2"/>
    </font>
    <font>
      <b/>
      <sz val="24"/>
      <color indexed="55"/>
      <name val="Arial Black"/>
      <family val="2"/>
    </font>
    <font>
      <b/>
      <sz val="10"/>
      <name val="Arial Black"/>
      <family val="2"/>
    </font>
    <font>
      <b/>
      <sz val="10"/>
      <color indexed="8"/>
      <name val="Arial"/>
      <family val="2"/>
    </font>
    <font>
      <b/>
      <i/>
      <sz val="14"/>
      <name val="Copperplate Gothic Bold"/>
      <family val="2"/>
    </font>
    <font>
      <b/>
      <sz val="12"/>
      <name val="Copperplate Gothic Bold"/>
      <family val="2"/>
    </font>
    <font>
      <b/>
      <u/>
      <sz val="12"/>
      <name val="Copperplate Gothic Bold"/>
      <family val="2"/>
    </font>
    <font>
      <i/>
      <sz val="10"/>
      <name val="Arial"/>
      <family val="2"/>
    </font>
    <font>
      <b/>
      <sz val="14"/>
      <name val="Copperplate Gothic Bold"/>
      <family val="2"/>
    </font>
    <font>
      <b/>
      <i/>
      <sz val="12"/>
      <color indexed="8"/>
      <name val="Arial"/>
      <family val="2"/>
    </font>
    <font>
      <sz val="8"/>
      <color theme="1"/>
      <name val="Arial"/>
      <family val="2"/>
    </font>
    <font>
      <sz val="8"/>
      <color indexed="57"/>
      <name val="Arial"/>
      <family val="2"/>
    </font>
    <font>
      <sz val="8"/>
      <color indexed="9"/>
      <name val="Arial"/>
      <family val="2"/>
    </font>
    <font>
      <sz val="8"/>
      <color indexed="23"/>
      <name val="Arial"/>
      <family val="2"/>
    </font>
    <font>
      <b/>
      <sz val="8"/>
      <color indexed="9"/>
      <name val="Arial"/>
      <family val="2"/>
    </font>
    <font>
      <b/>
      <sz val="8"/>
      <color theme="1"/>
      <name val="Arial"/>
      <family val="2"/>
    </font>
    <font>
      <b/>
      <u/>
      <sz val="8"/>
      <color indexed="9"/>
      <name val="Arial"/>
      <family val="2"/>
    </font>
    <font>
      <sz val="8"/>
      <color indexed="22"/>
      <name val="Arial"/>
      <family val="2"/>
    </font>
    <font>
      <u/>
      <sz val="8"/>
      <name val="Arial"/>
      <family val="2"/>
    </font>
    <font>
      <b/>
      <sz val="8"/>
      <color indexed="55"/>
      <name val="Arial"/>
      <family val="2"/>
    </font>
    <font>
      <b/>
      <u/>
      <sz val="8"/>
      <color indexed="8"/>
      <name val="Arial"/>
      <family val="2"/>
    </font>
    <font>
      <sz val="8"/>
      <color theme="0"/>
      <name val="Arial"/>
      <family val="2"/>
    </font>
    <font>
      <b/>
      <u/>
      <sz val="8"/>
      <color theme="0"/>
      <name val="Arial"/>
      <family val="2"/>
    </font>
    <font>
      <b/>
      <u/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indexed="8"/>
      <name val="Arial"/>
      <family val="2"/>
    </font>
    <font>
      <b/>
      <sz val="8"/>
      <color rgb="FF00B05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30">
    <xf numFmtId="0" fontId="0" fillId="0" borderId="0" xfId="0"/>
    <xf numFmtId="0" fontId="1" fillId="0" borderId="0" xfId="0" applyFont="1" applyAlignment="1">
      <alignment horizontal="center"/>
    </xf>
    <xf numFmtId="2" fontId="2" fillId="0" borderId="0" xfId="0" applyNumberFormat="1" applyFont="1" applyAlignment="1">
      <alignment horizontal="right"/>
    </xf>
    <xf numFmtId="164" fontId="3" fillId="0" borderId="0" xfId="0" applyNumberFormat="1" applyFont="1"/>
    <xf numFmtId="0" fontId="2" fillId="0" borderId="0" xfId="0" applyFont="1"/>
    <xf numFmtId="15" fontId="2" fillId="0" borderId="0" xfId="0" applyNumberFormat="1" applyFont="1"/>
    <xf numFmtId="15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0" xfId="0" applyFont="1"/>
    <xf numFmtId="2" fontId="1" fillId="0" borderId="0" xfId="0" applyNumberFormat="1" applyFont="1"/>
    <xf numFmtId="0" fontId="2" fillId="0" borderId="0" xfId="0" applyNumberFormat="1" applyFont="1" applyAlignment="1">
      <alignment horizontal="right"/>
    </xf>
    <xf numFmtId="15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left" indent="1"/>
    </xf>
    <xf numFmtId="4" fontId="1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left" indent="1"/>
    </xf>
    <xf numFmtId="0" fontId="1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 indent="1"/>
    </xf>
    <xf numFmtId="4" fontId="2" fillId="0" borderId="0" xfId="0" applyNumberFormat="1" applyFon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4" fontId="5" fillId="0" borderId="0" xfId="0" applyNumberFormat="1" applyFont="1" applyFill="1" applyAlignment="1">
      <alignment horizontal="right"/>
    </xf>
    <xf numFmtId="0" fontId="2" fillId="0" borderId="0" xfId="0" applyNumberFormat="1" applyFont="1" applyFill="1" applyAlignment="1">
      <alignment horizontal="right"/>
    </xf>
    <xf numFmtId="0" fontId="4" fillId="0" borderId="0" xfId="0" applyNumberFormat="1" applyFont="1" applyFill="1" applyAlignment="1">
      <alignment horizontal="right"/>
    </xf>
    <xf numFmtId="0" fontId="2" fillId="0" borderId="0" xfId="0" applyNumberFormat="1" applyFont="1" applyAlignment="1">
      <alignment horizontal="right" indent="1"/>
    </xf>
    <xf numFmtId="0" fontId="5" fillId="0" borderId="0" xfId="0" applyFont="1" applyFill="1"/>
    <xf numFmtId="2" fontId="2" fillId="0" borderId="0" xfId="0" applyNumberFormat="1" applyFont="1"/>
    <xf numFmtId="0" fontId="2" fillId="0" borderId="0" xfId="0" applyFont="1" applyAlignment="1">
      <alignment horizontal="left" indent="1"/>
    </xf>
    <xf numFmtId="40" fontId="2" fillId="0" borderId="0" xfId="0" applyNumberFormat="1" applyFont="1"/>
    <xf numFmtId="2" fontId="6" fillId="0" borderId="0" xfId="0" applyNumberFormat="1" applyFont="1"/>
    <xf numFmtId="0" fontId="2" fillId="0" borderId="0" xfId="0" applyFont="1" applyBorder="1"/>
    <xf numFmtId="15" fontId="2" fillId="0" borderId="0" xfId="0" applyNumberFormat="1" applyFont="1" applyBorder="1" applyAlignment="1">
      <alignment horizontal="right"/>
    </xf>
    <xf numFmtId="2" fontId="2" fillId="0" borderId="0" xfId="0" applyNumberFormat="1" applyFont="1" applyBorder="1"/>
    <xf numFmtId="0" fontId="2" fillId="0" borderId="0" xfId="0" applyFont="1" applyBorder="1" applyAlignment="1">
      <alignment horizontal="left" indent="1"/>
    </xf>
    <xf numFmtId="4" fontId="7" fillId="0" borderId="0" xfId="0" applyNumberFormat="1" applyFont="1" applyFill="1"/>
    <xf numFmtId="4" fontId="7" fillId="0" borderId="0" xfId="0" applyNumberFormat="1" applyFont="1" applyFill="1" applyAlignment="1">
      <alignment horizontal="right"/>
    </xf>
    <xf numFmtId="0" fontId="2" fillId="0" borderId="0" xfId="0" applyNumberFormat="1" applyFont="1" applyFill="1" applyAlignment="1">
      <alignment horizontal="right" indent="1"/>
    </xf>
    <xf numFmtId="0" fontId="8" fillId="0" borderId="0" xfId="0" applyFont="1" applyBorder="1" applyAlignment="1" applyProtection="1">
      <alignment horizontal="left" vertical="center" indent="1"/>
      <protection locked="0"/>
    </xf>
    <xf numFmtId="0" fontId="0" fillId="2" borderId="0" xfId="0" applyFill="1" applyBorder="1" applyAlignment="1" applyProtection="1">
      <alignment vertical="center"/>
    </xf>
    <xf numFmtId="0" fontId="9" fillId="0" borderId="0" xfId="0" applyFont="1" applyBorder="1" applyAlignment="1" applyProtection="1">
      <alignment horizontal="left" vertical="center" indent="1"/>
      <protection locked="0"/>
    </xf>
    <xf numFmtId="0" fontId="0" fillId="0" borderId="0" xfId="0" applyBorder="1" applyAlignment="1" applyProtection="1">
      <alignment horizontal="right" vertical="center"/>
      <protection locked="0"/>
    </xf>
    <xf numFmtId="4" fontId="0" fillId="0" borderId="0" xfId="0" applyNumberFormat="1" applyBorder="1" applyAlignment="1" applyProtection="1">
      <alignment horizontal="right" vertical="center"/>
      <protection locked="0"/>
    </xf>
    <xf numFmtId="15" fontId="2" fillId="0" borderId="0" xfId="0" applyNumberFormat="1" applyFont="1" applyAlignment="1">
      <alignment horizontal="left" indent="1"/>
    </xf>
    <xf numFmtId="4" fontId="2" fillId="0" borderId="0" xfId="0" applyNumberFormat="1" applyFont="1" applyFill="1"/>
    <xf numFmtId="164" fontId="3" fillId="0" borderId="0" xfId="0" applyNumberFormat="1" applyFont="1" applyFill="1"/>
    <xf numFmtId="2" fontId="2" fillId="0" borderId="0" xfId="0" applyNumberFormat="1" applyFont="1" applyFill="1"/>
    <xf numFmtId="4" fontId="2" fillId="3" borderId="0" xfId="0" applyNumberFormat="1" applyFont="1" applyFill="1"/>
    <xf numFmtId="4" fontId="2" fillId="0" borderId="0" xfId="0" applyNumberFormat="1" applyFont="1"/>
    <xf numFmtId="4" fontId="10" fillId="0" borderId="0" xfId="0" applyNumberFormat="1" applyFont="1" applyFill="1"/>
    <xf numFmtId="4" fontId="10" fillId="0" borderId="0" xfId="0" applyNumberFormat="1" applyFont="1" applyFill="1" applyAlignment="1">
      <alignment horizontal="right"/>
    </xf>
    <xf numFmtId="0" fontId="2" fillId="0" borderId="0" xfId="0" applyNumberFormat="1" applyFont="1" applyFill="1" applyAlignment="1">
      <alignment horizontal="left" indent="1"/>
    </xf>
    <xf numFmtId="4" fontId="2" fillId="0" borderId="0" xfId="0" applyNumberFormat="1" applyFont="1" applyFill="1" applyAlignment="1">
      <alignment horizontal="right" indent="1"/>
    </xf>
    <xf numFmtId="4" fontId="2" fillId="0" borderId="0" xfId="0" applyNumberFormat="1" applyFont="1" applyFill="1" applyAlignment="1">
      <alignment horizontal="left" indent="1"/>
    </xf>
    <xf numFmtId="38" fontId="0" fillId="0" borderId="0" xfId="0" applyNumberFormat="1"/>
    <xf numFmtId="0" fontId="0" fillId="0" borderId="0" xfId="0" applyFill="1"/>
    <xf numFmtId="0" fontId="14" fillId="0" borderId="0" xfId="0" applyFont="1"/>
    <xf numFmtId="0" fontId="15" fillId="0" borderId="0" xfId="0" applyFont="1"/>
    <xf numFmtId="0" fontId="0" fillId="2" borderId="0" xfId="0" applyFill="1"/>
    <xf numFmtId="0" fontId="12" fillId="2" borderId="0" xfId="0" applyFont="1" applyFill="1" applyAlignment="1">
      <alignment horizontal="right"/>
    </xf>
    <xf numFmtId="0" fontId="0" fillId="4" borderId="2" xfId="0" applyFill="1" applyBorder="1"/>
    <xf numFmtId="0" fontId="18" fillId="2" borderId="0" xfId="0" applyFont="1" applyFill="1"/>
    <xf numFmtId="0" fontId="0" fillId="2" borderId="0" xfId="0" applyFill="1" applyProtection="1">
      <protection locked="0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center"/>
    </xf>
    <xf numFmtId="0" fontId="0" fillId="2" borderId="8" xfId="0" applyFill="1" applyBorder="1" applyAlignment="1" applyProtection="1">
      <alignment vertical="center"/>
    </xf>
    <xf numFmtId="0" fontId="0" fillId="2" borderId="8" xfId="0" applyFill="1" applyBorder="1" applyAlignment="1">
      <alignment vertical="center"/>
    </xf>
    <xf numFmtId="0" fontId="0" fillId="2" borderId="13" xfId="0" applyFill="1" applyBorder="1" applyAlignment="1" applyProtection="1">
      <alignment vertical="center"/>
    </xf>
    <xf numFmtId="0" fontId="0" fillId="2" borderId="13" xfId="0" applyFill="1" applyBorder="1" applyAlignment="1">
      <alignment vertical="center"/>
    </xf>
    <xf numFmtId="0" fontId="0" fillId="2" borderId="15" xfId="0" applyFill="1" applyBorder="1" applyAlignment="1" applyProtection="1">
      <alignment vertical="center"/>
    </xf>
    <xf numFmtId="0" fontId="0" fillId="2" borderId="15" xfId="0" applyFill="1" applyBorder="1" applyAlignment="1">
      <alignment vertical="center"/>
    </xf>
    <xf numFmtId="0" fontId="20" fillId="2" borderId="0" xfId="0" applyFont="1" applyFill="1"/>
    <xf numFmtId="0" fontId="0" fillId="2" borderId="0" xfId="0" applyFill="1" applyAlignment="1">
      <alignment horizontal="right" vertical="center"/>
    </xf>
    <xf numFmtId="0" fontId="13" fillId="2" borderId="5" xfId="0" applyFont="1" applyFill="1" applyBorder="1"/>
    <xf numFmtId="0" fontId="21" fillId="2" borderId="0" xfId="0" applyFont="1" applyFill="1"/>
    <xf numFmtId="0" fontId="22" fillId="2" borderId="0" xfId="0" applyFont="1" applyFill="1"/>
    <xf numFmtId="0" fontId="12" fillId="2" borderId="0" xfId="0" applyFont="1" applyFill="1" applyAlignment="1">
      <alignment horizontal="right" vertical="center"/>
    </xf>
    <xf numFmtId="0" fontId="12" fillId="2" borderId="0" xfId="0" applyFont="1" applyFill="1"/>
    <xf numFmtId="0" fontId="26" fillId="0" borderId="0" xfId="0" applyFont="1"/>
    <xf numFmtId="40" fontId="26" fillId="0" borderId="0" xfId="0" applyNumberFormat="1" applyFont="1"/>
    <xf numFmtId="38" fontId="26" fillId="0" borderId="0" xfId="0" applyNumberFormat="1" applyFont="1"/>
    <xf numFmtId="0" fontId="26" fillId="0" borderId="0" xfId="0" applyFont="1" applyFill="1"/>
    <xf numFmtId="0" fontId="26" fillId="0" borderId="0" xfId="0" applyFont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14" fontId="26" fillId="0" borderId="0" xfId="0" applyNumberFormat="1" applyFont="1"/>
    <xf numFmtId="3" fontId="26" fillId="0" borderId="0" xfId="0" applyNumberFormat="1" applyFont="1"/>
    <xf numFmtId="2" fontId="26" fillId="0" borderId="0" xfId="0" applyNumberFormat="1" applyFont="1"/>
    <xf numFmtId="38" fontId="26" fillId="0" borderId="0" xfId="0" applyNumberFormat="1" applyFont="1" applyFill="1"/>
    <xf numFmtId="4" fontId="28" fillId="0" borderId="0" xfId="0" applyNumberFormat="1" applyFont="1"/>
    <xf numFmtId="0" fontId="28" fillId="0" borderId="0" xfId="0" applyFont="1" applyAlignment="1">
      <alignment horizontal="left" indent="1"/>
    </xf>
    <xf numFmtId="0" fontId="28" fillId="0" borderId="0" xfId="0" quotePrefix="1" applyFont="1" applyAlignment="1">
      <alignment horizontal="left" indent="1"/>
    </xf>
    <xf numFmtId="164" fontId="28" fillId="0" borderId="0" xfId="0" applyNumberFormat="1" applyFont="1"/>
    <xf numFmtId="38" fontId="2" fillId="0" borderId="0" xfId="0" applyNumberFormat="1" applyFont="1"/>
    <xf numFmtId="38" fontId="3" fillId="0" borderId="0" xfId="0" applyNumberFormat="1" applyFont="1"/>
    <xf numFmtId="2" fontId="3" fillId="0" borderId="0" xfId="0" applyNumberFormat="1" applyFont="1"/>
    <xf numFmtId="165" fontId="29" fillId="0" borderId="0" xfId="0" applyNumberFormat="1" applyFont="1"/>
    <xf numFmtId="38" fontId="4" fillId="0" borderId="0" xfId="0" applyNumberFormat="1" applyFont="1"/>
    <xf numFmtId="2" fontId="27" fillId="0" borderId="0" xfId="0" applyNumberFormat="1" applyFont="1"/>
    <xf numFmtId="2" fontId="7" fillId="0" borderId="0" xfId="0" applyNumberFormat="1" applyFont="1"/>
    <xf numFmtId="0" fontId="4" fillId="0" borderId="0" xfId="0" applyFont="1"/>
    <xf numFmtId="9" fontId="26" fillId="0" borderId="0" xfId="0" applyNumberFormat="1" applyFont="1"/>
    <xf numFmtId="0" fontId="2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4" fontId="26" fillId="0" borderId="0" xfId="0" applyNumberFormat="1" applyFont="1"/>
    <xf numFmtId="38" fontId="4" fillId="0" borderId="0" xfId="0" applyNumberFormat="1" applyFont="1" applyFill="1"/>
    <xf numFmtId="0" fontId="26" fillId="0" borderId="0" xfId="0" applyFont="1" applyAlignment="1">
      <alignment horizontal="center"/>
    </xf>
    <xf numFmtId="164" fontId="26" fillId="0" borderId="0" xfId="0" applyNumberFormat="1" applyFont="1"/>
    <xf numFmtId="38" fontId="2" fillId="0" borderId="0" xfId="0" applyNumberFormat="1" applyFont="1" applyFill="1"/>
    <xf numFmtId="0" fontId="26" fillId="0" borderId="1" xfId="0" applyFont="1" applyBorder="1"/>
    <xf numFmtId="2" fontId="26" fillId="0" borderId="1" xfId="0" applyNumberFormat="1" applyFont="1" applyBorder="1"/>
    <xf numFmtId="165" fontId="28" fillId="0" borderId="0" xfId="0" applyNumberFormat="1" applyFont="1"/>
    <xf numFmtId="2" fontId="28" fillId="0" borderId="0" xfId="0" applyNumberFormat="1" applyFont="1"/>
    <xf numFmtId="164" fontId="30" fillId="0" borderId="0" xfId="0" applyNumberFormat="1" applyFont="1"/>
    <xf numFmtId="38" fontId="31" fillId="0" borderId="0" xfId="0" applyNumberFormat="1" applyFont="1"/>
    <xf numFmtId="2" fontId="31" fillId="0" borderId="0" xfId="0" applyNumberFormat="1" applyFont="1"/>
    <xf numFmtId="0" fontId="2" fillId="0" borderId="0" xfId="0" applyNumberFormat="1" applyFont="1" applyAlignment="1">
      <alignment horizontal="left"/>
    </xf>
    <xf numFmtId="0" fontId="2" fillId="0" borderId="0" xfId="0" applyFont="1" applyFill="1"/>
    <xf numFmtId="4" fontId="28" fillId="0" borderId="0" xfId="0" applyNumberFormat="1" applyFont="1" applyFill="1" applyAlignment="1">
      <alignment horizontal="right"/>
    </xf>
    <xf numFmtId="2" fontId="32" fillId="0" borderId="0" xfId="0" applyNumberFormat="1" applyFont="1"/>
    <xf numFmtId="0" fontId="4" fillId="0" borderId="0" xfId="0" applyNumberFormat="1" applyFont="1" applyAlignment="1">
      <alignment horizontal="right"/>
    </xf>
    <xf numFmtId="15" fontId="4" fillId="0" borderId="0" xfId="0" applyNumberFormat="1" applyFont="1"/>
    <xf numFmtId="40" fontId="4" fillId="0" borderId="0" xfId="0" applyNumberFormat="1" applyFont="1"/>
    <xf numFmtId="4" fontId="4" fillId="0" borderId="0" xfId="0" applyNumberFormat="1" applyFont="1" applyAlignment="1">
      <alignment horizontal="right"/>
    </xf>
    <xf numFmtId="2" fontId="4" fillId="0" borderId="0" xfId="0" applyNumberFormat="1" applyFont="1"/>
    <xf numFmtId="4" fontId="4" fillId="3" borderId="0" xfId="0" applyNumberFormat="1" applyFont="1" applyFill="1" applyAlignment="1">
      <alignment horizontal="right"/>
    </xf>
    <xf numFmtId="0" fontId="33" fillId="0" borderId="0" xfId="0" applyNumberFormat="1" applyFont="1" applyFill="1" applyAlignment="1">
      <alignment horizontal="right"/>
    </xf>
    <xf numFmtId="0" fontId="28" fillId="0" borderId="0" xfId="0" applyNumberFormat="1" applyFont="1" applyAlignment="1">
      <alignment horizontal="right"/>
    </xf>
    <xf numFmtId="0" fontId="28" fillId="0" borderId="0" xfId="0" applyFont="1"/>
    <xf numFmtId="4" fontId="28" fillId="0" borderId="0" xfId="0" applyNumberFormat="1" applyFont="1" applyAlignment="1">
      <alignment horizontal="right"/>
    </xf>
    <xf numFmtId="4" fontId="2" fillId="5" borderId="0" xfId="0" applyNumberFormat="1" applyFont="1" applyFill="1" applyAlignment="1">
      <alignment horizontal="right"/>
    </xf>
    <xf numFmtId="0" fontId="7" fillId="0" borderId="0" xfId="0" applyFont="1"/>
    <xf numFmtId="4" fontId="7" fillId="0" borderId="0" xfId="0" applyNumberFormat="1" applyFont="1" applyFill="1" applyAlignment="1">
      <alignment horizontal="left"/>
    </xf>
    <xf numFmtId="4" fontId="7" fillId="0" borderId="0" xfId="0" applyNumberFormat="1" applyFont="1" applyAlignment="1">
      <alignment horizontal="right"/>
    </xf>
    <xf numFmtId="15" fontId="1" fillId="0" borderId="0" xfId="0" applyNumberFormat="1" applyFont="1" applyAlignment="1">
      <alignment horizontal="left"/>
    </xf>
    <xf numFmtId="0" fontId="32" fillId="0" borderId="0" xfId="0" applyFont="1"/>
    <xf numFmtId="4" fontId="2" fillId="3" borderId="0" xfId="0" applyNumberFormat="1" applyFont="1" applyFill="1" applyAlignment="1">
      <alignment horizontal="right"/>
    </xf>
    <xf numFmtId="0" fontId="2" fillId="0" borderId="0" xfId="0" applyNumberFormat="1" applyFont="1" applyAlignment="1">
      <alignment horizontal="left" indent="3"/>
    </xf>
    <xf numFmtId="0" fontId="7" fillId="0" borderId="0" xfId="0" applyNumberFormat="1" applyFont="1" applyAlignment="1">
      <alignment horizontal="left" indent="3"/>
    </xf>
    <xf numFmtId="4" fontId="7" fillId="0" borderId="0" xfId="0" applyNumberFormat="1" applyFont="1" applyAlignment="1">
      <alignment horizontal="left" indent="3"/>
    </xf>
    <xf numFmtId="4" fontId="7" fillId="0" borderId="0" xfId="0" applyNumberFormat="1" applyFont="1" applyAlignment="1">
      <alignment horizontal="left" indent="4"/>
    </xf>
    <xf numFmtId="0" fontId="7" fillId="0" borderId="0" xfId="0" applyNumberFormat="1" applyFont="1" applyAlignment="1">
      <alignment horizontal="right"/>
    </xf>
    <xf numFmtId="0" fontId="4" fillId="0" borderId="0" xfId="0" applyNumberFormat="1" applyFont="1" applyAlignment="1">
      <alignment horizontal="left"/>
    </xf>
    <xf numFmtId="0" fontId="34" fillId="0" borderId="0" xfId="0" applyFont="1" applyAlignment="1">
      <alignment horizontal="center"/>
    </xf>
    <xf numFmtId="164" fontId="2" fillId="0" borderId="0" xfId="0" applyNumberFormat="1" applyFont="1"/>
    <xf numFmtId="15" fontId="34" fillId="0" borderId="0" xfId="0" applyNumberFormat="1" applyFont="1" applyAlignment="1">
      <alignment horizontal="center"/>
    </xf>
    <xf numFmtId="2" fontId="34" fillId="0" borderId="0" xfId="0" applyNumberFormat="1" applyFont="1" applyAlignment="1">
      <alignment horizontal="center"/>
    </xf>
    <xf numFmtId="0" fontId="34" fillId="0" borderId="0" xfId="0" applyFont="1"/>
    <xf numFmtId="2" fontId="34" fillId="0" borderId="0" xfId="0" applyNumberFormat="1" applyFont="1"/>
    <xf numFmtId="0" fontId="7" fillId="0" borderId="0" xfId="0" applyNumberFormat="1" applyFont="1" applyFill="1" applyAlignment="1">
      <alignment horizontal="left"/>
    </xf>
    <xf numFmtId="15" fontId="4" fillId="0" borderId="0" xfId="0" applyNumberFormat="1" applyFont="1" applyAlignment="1">
      <alignment horizontal="right"/>
    </xf>
    <xf numFmtId="0" fontId="4" fillId="0" borderId="0" xfId="0" applyNumberFormat="1" applyFont="1" applyAlignment="1">
      <alignment horizontal="left" indent="1"/>
    </xf>
    <xf numFmtId="40" fontId="28" fillId="0" borderId="0" xfId="0" applyNumberFormat="1" applyFont="1"/>
    <xf numFmtId="4" fontId="4" fillId="0" borderId="0" xfId="0" applyNumberFormat="1" applyFont="1" applyAlignment="1">
      <alignment horizontal="left" indent="1"/>
    </xf>
    <xf numFmtId="4" fontId="4" fillId="0" borderId="0" xfId="0" applyNumberFormat="1" applyFont="1" applyAlignment="1">
      <alignment horizontal="right" indent="1"/>
    </xf>
    <xf numFmtId="4" fontId="4" fillId="0" borderId="0" xfId="0" applyNumberFormat="1" applyFont="1" applyAlignment="1">
      <alignment horizontal="left"/>
    </xf>
    <xf numFmtId="0" fontId="4" fillId="0" borderId="0" xfId="0" applyNumberFormat="1" applyFont="1" applyAlignment="1">
      <alignment horizontal="right" indent="1"/>
    </xf>
    <xf numFmtId="0" fontId="28" fillId="0" borderId="0" xfId="0" applyNumberFormat="1" applyFont="1" applyFill="1" applyAlignment="1">
      <alignment horizontal="right"/>
    </xf>
    <xf numFmtId="0" fontId="2" fillId="0" borderId="0" xfId="0" applyFont="1" applyAlignment="1">
      <alignment horizontal="right"/>
    </xf>
    <xf numFmtId="2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15" fontId="28" fillId="0" borderId="0" xfId="0" applyNumberFormat="1" applyFont="1"/>
    <xf numFmtId="0" fontId="3" fillId="0" borderId="0" xfId="0" applyFont="1" applyAlignment="1">
      <alignment horizontal="center"/>
    </xf>
    <xf numFmtId="4" fontId="2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left" indent="1"/>
    </xf>
    <xf numFmtId="4" fontId="3" fillId="0" borderId="0" xfId="0" applyNumberFormat="1" applyFont="1" applyAlignment="1">
      <alignment horizontal="right" indent="1"/>
    </xf>
    <xf numFmtId="15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35" fillId="0" borderId="0" xfId="0" applyNumberFormat="1" applyFont="1"/>
    <xf numFmtId="0" fontId="36" fillId="0" borderId="0" xfId="0" applyNumberFormat="1" applyFont="1" applyAlignment="1">
      <alignment horizontal="right"/>
    </xf>
    <xf numFmtId="0" fontId="36" fillId="0" borderId="0" xfId="0" applyFont="1"/>
    <xf numFmtId="4" fontId="36" fillId="0" borderId="0" xfId="0" applyNumberFormat="1" applyFont="1" applyAlignment="1">
      <alignment horizontal="right"/>
    </xf>
    <xf numFmtId="0" fontId="1" fillId="0" borderId="0" xfId="0" applyFont="1" applyFill="1"/>
    <xf numFmtId="4" fontId="1" fillId="0" borderId="0" xfId="0" applyNumberFormat="1" applyFont="1"/>
    <xf numFmtId="38" fontId="5" fillId="0" borderId="0" xfId="0" applyNumberFormat="1" applyFont="1" applyFill="1"/>
    <xf numFmtId="0" fontId="0" fillId="0" borderId="0" xfId="0" applyBorder="1" applyAlignment="1" applyProtection="1">
      <alignment horizontal="right" vertical="center"/>
      <protection locked="0"/>
    </xf>
    <xf numFmtId="4" fontId="0" fillId="0" borderId="0" xfId="0" applyNumberFormat="1" applyBorder="1" applyAlignment="1" applyProtection="1">
      <alignment horizontal="right" vertical="center"/>
      <protection locked="0"/>
    </xf>
    <xf numFmtId="2" fontId="3" fillId="0" borderId="0" xfId="0" applyNumberFormat="1" applyFont="1" applyAlignment="1">
      <alignment horizontal="right"/>
    </xf>
    <xf numFmtId="0" fontId="3" fillId="0" borderId="0" xfId="0" applyFont="1"/>
    <xf numFmtId="15" fontId="3" fillId="0" borderId="0" xfId="0" applyNumberFormat="1" applyFont="1"/>
    <xf numFmtId="15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/>
    </xf>
    <xf numFmtId="0" fontId="7" fillId="0" borderId="0" xfId="0" applyFont="1" applyFill="1"/>
    <xf numFmtId="0" fontId="26" fillId="0" borderId="0" xfId="0" applyNumberFormat="1" applyFont="1" applyAlignment="1">
      <alignment horizontal="right"/>
    </xf>
    <xf numFmtId="0" fontId="37" fillId="0" borderId="0" xfId="0" applyFont="1"/>
    <xf numFmtId="4" fontId="26" fillId="0" borderId="0" xfId="0" applyNumberFormat="1" applyFont="1" applyAlignment="1">
      <alignment horizontal="right"/>
    </xf>
    <xf numFmtId="15" fontId="26" fillId="0" borderId="0" xfId="0" applyNumberFormat="1" applyFont="1"/>
    <xf numFmtId="4" fontId="2" fillId="0" borderId="0" xfId="0" applyNumberFormat="1" applyFont="1" applyAlignment="1"/>
    <xf numFmtId="0" fontId="37" fillId="0" borderId="0" xfId="0" applyNumberFormat="1" applyFont="1" applyAlignment="1">
      <alignment horizontal="right"/>
    </xf>
    <xf numFmtId="2" fontId="38" fillId="0" borderId="0" xfId="0" applyNumberFormat="1" applyFont="1"/>
    <xf numFmtId="0" fontId="39" fillId="0" borderId="0" xfId="0" applyFont="1"/>
    <xf numFmtId="4" fontId="37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left" indent="1"/>
    </xf>
    <xf numFmtId="0" fontId="26" fillId="0" borderId="0" xfId="0" applyNumberFormat="1" applyFont="1" applyAlignment="1">
      <alignment horizontal="right" indent="1"/>
    </xf>
    <xf numFmtId="4" fontId="26" fillId="0" borderId="0" xfId="0" applyNumberFormat="1" applyFont="1" applyAlignment="1">
      <alignment horizontal="right" indent="1"/>
    </xf>
    <xf numFmtId="0" fontId="26" fillId="0" borderId="0" xfId="0" applyNumberFormat="1" applyFont="1" applyAlignment="1">
      <alignment horizontal="left" indent="1"/>
    </xf>
    <xf numFmtId="15" fontId="5" fillId="0" borderId="0" xfId="0" applyNumberFormat="1" applyFont="1" applyAlignment="1">
      <alignment horizontal="right"/>
    </xf>
    <xf numFmtId="15" fontId="37" fillId="0" borderId="0" xfId="0" applyNumberFormat="1" applyFont="1"/>
    <xf numFmtId="40" fontId="37" fillId="0" borderId="0" xfId="0" applyNumberFormat="1" applyFont="1"/>
    <xf numFmtId="2" fontId="37" fillId="0" borderId="0" xfId="0" applyNumberFormat="1" applyFont="1"/>
    <xf numFmtId="15" fontId="2" fillId="0" borderId="0" xfId="0" applyNumberFormat="1" applyFont="1" applyAlignment="1">
      <alignment horizontal="left"/>
    </xf>
    <xf numFmtId="4" fontId="40" fillId="0" borderId="0" xfId="0" applyNumberFormat="1" applyFont="1" applyFill="1" applyAlignment="1">
      <alignment horizontal="right"/>
    </xf>
    <xf numFmtId="0" fontId="40" fillId="0" borderId="0" xfId="0" applyNumberFormat="1" applyFont="1" applyFill="1" applyAlignment="1">
      <alignment horizontal="right"/>
    </xf>
    <xf numFmtId="0" fontId="37" fillId="0" borderId="0" xfId="0" applyFont="1" applyBorder="1"/>
    <xf numFmtId="2" fontId="37" fillId="0" borderId="0" xfId="0" applyNumberFormat="1" applyFont="1" applyBorder="1"/>
    <xf numFmtId="0" fontId="26" fillId="0" borderId="0" xfId="0" applyFont="1" applyBorder="1"/>
    <xf numFmtId="0" fontId="5" fillId="0" borderId="0" xfId="0" applyNumberFormat="1" applyFont="1" applyFill="1" applyAlignment="1">
      <alignment horizontal="right"/>
    </xf>
    <xf numFmtId="0" fontId="26" fillId="0" borderId="0" xfId="0" applyNumberFormat="1" applyFont="1" applyFill="1" applyAlignment="1">
      <alignment horizontal="right"/>
    </xf>
    <xf numFmtId="4" fontId="26" fillId="0" borderId="0" xfId="0" applyNumberFormat="1" applyFont="1" applyFill="1" applyAlignment="1">
      <alignment horizontal="right"/>
    </xf>
    <xf numFmtId="2" fontId="38" fillId="0" borderId="0" xfId="0" applyNumberFormat="1" applyFont="1" applyFill="1"/>
    <xf numFmtId="0" fontId="38" fillId="0" borderId="0" xfId="0" applyFont="1" applyFill="1"/>
    <xf numFmtId="0" fontId="38" fillId="0" borderId="0" xfId="0" applyFont="1"/>
    <xf numFmtId="0" fontId="37" fillId="0" borderId="0" xfId="0" applyNumberFormat="1" applyFont="1" applyFill="1" applyAlignment="1">
      <alignment horizontal="right"/>
    </xf>
    <xf numFmtId="15" fontId="37" fillId="0" borderId="0" xfId="0" applyNumberFormat="1" applyFont="1" applyFill="1"/>
    <xf numFmtId="40" fontId="37" fillId="0" borderId="0" xfId="0" applyNumberFormat="1" applyFont="1" applyFill="1"/>
    <xf numFmtId="4" fontId="37" fillId="0" borderId="0" xfId="0" applyNumberFormat="1" applyFont="1" applyFill="1" applyAlignment="1">
      <alignment horizontal="right"/>
    </xf>
    <xf numFmtId="2" fontId="37" fillId="0" borderId="0" xfId="0" applyNumberFormat="1" applyFont="1" applyFill="1"/>
    <xf numFmtId="0" fontId="37" fillId="0" borderId="0" xfId="0" applyFont="1" applyFill="1"/>
    <xf numFmtId="4" fontId="26" fillId="0" borderId="0" xfId="0" applyNumberFormat="1" applyFont="1" applyAlignment="1">
      <alignment horizontal="left" indent="1"/>
    </xf>
    <xf numFmtId="15" fontId="26" fillId="0" borderId="0" xfId="0" applyNumberFormat="1" applyFont="1" applyFill="1"/>
    <xf numFmtId="40" fontId="26" fillId="0" borderId="0" xfId="0" applyNumberFormat="1" applyFont="1" applyFill="1"/>
    <xf numFmtId="15" fontId="1" fillId="0" borderId="0" xfId="0" applyNumberFormat="1" applyFont="1" applyAlignment="1">
      <alignment horizontal="left" indent="1"/>
    </xf>
    <xf numFmtId="4" fontId="5" fillId="0" borderId="0" xfId="0" applyNumberFormat="1" applyFont="1" applyAlignment="1">
      <alignment horizontal="right"/>
    </xf>
    <xf numFmtId="0" fontId="1" fillId="0" borderId="0" xfId="0" applyNumberFormat="1" applyFont="1" applyFill="1" applyAlignment="1">
      <alignment horizontal="right"/>
    </xf>
    <xf numFmtId="0" fontId="39" fillId="0" borderId="0" xfId="0" applyNumberFormat="1" applyFont="1" applyFill="1" applyAlignment="1">
      <alignment horizontal="right"/>
    </xf>
    <xf numFmtId="0" fontId="39" fillId="0" borderId="0" xfId="0" applyNumberFormat="1" applyFont="1" applyAlignment="1">
      <alignment horizontal="right"/>
    </xf>
    <xf numFmtId="4" fontId="1" fillId="0" borderId="0" xfId="0" applyNumberFormat="1" applyFont="1" applyFill="1" applyAlignment="1">
      <alignment horizontal="right"/>
    </xf>
    <xf numFmtId="4" fontId="39" fillId="0" borderId="0" xfId="0" applyNumberFormat="1" applyFont="1" applyFill="1" applyAlignment="1">
      <alignment horizontal="right"/>
    </xf>
    <xf numFmtId="4" fontId="39" fillId="0" borderId="0" xfId="0" applyNumberFormat="1" applyFont="1" applyAlignment="1">
      <alignment horizontal="right"/>
    </xf>
    <xf numFmtId="0" fontId="38" fillId="0" borderId="0" xfId="0" applyNumberFormat="1" applyFont="1" applyAlignment="1">
      <alignment horizontal="right"/>
    </xf>
    <xf numFmtId="0" fontId="2" fillId="0" borderId="0" xfId="0" applyNumberFormat="1" applyFont="1" applyFill="1" applyAlignment="1">
      <alignment horizontal="left"/>
    </xf>
    <xf numFmtId="0" fontId="5" fillId="0" borderId="0" xfId="0" applyFont="1"/>
    <xf numFmtId="0" fontId="26" fillId="0" borderId="0" xfId="0" applyNumberFormat="1" applyFont="1" applyAlignment="1">
      <alignment horizontal="left"/>
    </xf>
    <xf numFmtId="0" fontId="4" fillId="0" borderId="0" xfId="0" applyNumberFormat="1" applyFont="1" applyFill="1" applyAlignment="1">
      <alignment horizontal="left"/>
    </xf>
    <xf numFmtId="4" fontId="38" fillId="0" borderId="0" xfId="0" applyNumberFormat="1" applyFont="1" applyAlignment="1">
      <alignment horizontal="right"/>
    </xf>
    <xf numFmtId="0" fontId="2" fillId="0" borderId="0" xfId="0" applyNumberFormat="1" applyFont="1" applyBorder="1" applyAlignment="1">
      <alignment horizontal="right"/>
    </xf>
    <xf numFmtId="4" fontId="2" fillId="0" borderId="0" xfId="0" applyNumberFormat="1" applyFont="1" applyBorder="1" applyAlignment="1">
      <alignment horizontal="right"/>
    </xf>
    <xf numFmtId="4" fontId="2" fillId="0" borderId="0" xfId="0" applyNumberFormat="1" applyFont="1" applyBorder="1" applyAlignment="1">
      <alignment horizontal="right" indent="1"/>
    </xf>
    <xf numFmtId="4" fontId="2" fillId="0" borderId="0" xfId="0" applyNumberFormat="1" applyFont="1" applyFill="1" applyBorder="1" applyAlignment="1">
      <alignment horizontal="right"/>
    </xf>
    <xf numFmtId="4" fontId="4" fillId="0" borderId="0" xfId="0" applyNumberFormat="1" applyFont="1" applyFill="1" applyBorder="1" applyAlignment="1">
      <alignment horizontal="right"/>
    </xf>
    <xf numFmtId="0" fontId="1" fillId="0" borderId="0" xfId="0" applyNumberFormat="1" applyFont="1" applyBorder="1" applyAlignment="1">
      <alignment horizontal="right"/>
    </xf>
    <xf numFmtId="0" fontId="1" fillId="0" borderId="0" xfId="0" applyFont="1" applyBorder="1"/>
    <xf numFmtId="0" fontId="2" fillId="0" borderId="0" xfId="0" applyNumberFormat="1" applyFont="1" applyBorder="1" applyAlignment="1" applyProtection="1">
      <protection locked="0"/>
    </xf>
    <xf numFmtId="15" fontId="2" fillId="0" borderId="0" xfId="0" applyNumberFormat="1" applyFont="1" applyBorder="1" applyAlignment="1" applyProtection="1">
      <protection locked="0"/>
    </xf>
    <xf numFmtId="4" fontId="2" fillId="0" borderId="0" xfId="0" applyNumberFormat="1" applyFont="1" applyBorder="1" applyAlignment="1" applyProtection="1">
      <protection locked="0"/>
    </xf>
    <xf numFmtId="4" fontId="2" fillId="0" borderId="0" xfId="0" applyNumberFormat="1" applyFont="1" applyBorder="1" applyAlignment="1" applyProtection="1">
      <alignment horizontal="right" indent="1"/>
      <protection locked="0"/>
    </xf>
    <xf numFmtId="4" fontId="9" fillId="0" borderId="0" xfId="0" applyNumberFormat="1" applyFont="1" applyBorder="1" applyAlignment="1" applyProtection="1">
      <alignment horizontal="right" indent="1"/>
      <protection locked="0"/>
    </xf>
    <xf numFmtId="0" fontId="2" fillId="0" borderId="0" xfId="0" applyNumberFormat="1" applyFont="1" applyBorder="1" applyAlignment="1" applyProtection="1">
      <alignment horizontal="left" indent="1"/>
      <protection locked="0"/>
    </xf>
    <xf numFmtId="0" fontId="9" fillId="0" borderId="0" xfId="0" applyNumberFormat="1" applyFont="1" applyBorder="1" applyAlignment="1" applyProtection="1">
      <alignment horizontal="right" indent="1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15" fontId="2" fillId="0" borderId="0" xfId="0" applyNumberFormat="1" applyFont="1" applyBorder="1" applyAlignment="1" applyProtection="1">
      <alignment horizontal="right"/>
      <protection locked="0"/>
    </xf>
    <xf numFmtId="4" fontId="2" fillId="0" borderId="0" xfId="0" applyNumberFormat="1" applyFont="1" applyBorder="1" applyAlignment="1" applyProtection="1">
      <alignment horizontal="right"/>
      <protection locked="0"/>
    </xf>
    <xf numFmtId="4" fontId="2" fillId="0" borderId="0" xfId="0" applyNumberFormat="1" applyFont="1" applyBorder="1" applyAlignment="1" applyProtection="1">
      <alignment horizontal="left" indent="1"/>
      <protection locked="0"/>
    </xf>
    <xf numFmtId="8" fontId="2" fillId="0" borderId="0" xfId="0" applyNumberFormat="1" applyFont="1" applyAlignment="1">
      <alignment horizontal="left"/>
    </xf>
    <xf numFmtId="2" fontId="26" fillId="0" borderId="0" xfId="0" applyNumberFormat="1" applyFont="1" applyFill="1"/>
    <xf numFmtId="0" fontId="40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left" vertical="top" indent="1"/>
    </xf>
    <xf numFmtId="4" fontId="3" fillId="3" borderId="0" xfId="0" applyNumberFormat="1" applyFont="1" applyFill="1" applyAlignment="1">
      <alignment horizontal="right"/>
    </xf>
    <xf numFmtId="4" fontId="41" fillId="3" borderId="0" xfId="0" applyNumberFormat="1" applyFont="1" applyFill="1" applyAlignment="1">
      <alignment horizontal="right"/>
    </xf>
    <xf numFmtId="0" fontId="3" fillId="0" borderId="0" xfId="0" applyNumberFormat="1" applyFont="1" applyFill="1" applyAlignment="1">
      <alignment horizontal="right"/>
    </xf>
    <xf numFmtId="0" fontId="41" fillId="0" borderId="0" xfId="0" applyNumberFormat="1" applyFont="1" applyFill="1" applyAlignment="1">
      <alignment horizontal="right"/>
    </xf>
    <xf numFmtId="4" fontId="3" fillId="0" borderId="0" xfId="0" applyNumberFormat="1" applyFont="1" applyFill="1" applyAlignment="1">
      <alignment horizontal="right"/>
    </xf>
    <xf numFmtId="4" fontId="41" fillId="0" borderId="0" xfId="0" applyNumberFormat="1" applyFont="1" applyFill="1" applyAlignment="1">
      <alignment horizontal="right"/>
    </xf>
    <xf numFmtId="4" fontId="42" fillId="0" borderId="0" xfId="0" applyNumberFormat="1" applyFont="1" applyFill="1" applyAlignment="1">
      <alignment horizontal="right"/>
    </xf>
    <xf numFmtId="0" fontId="0" fillId="0" borderId="0" xfId="0" applyBorder="1" applyAlignment="1" applyProtection="1">
      <alignment horizontal="right" vertical="center"/>
      <protection locked="0"/>
    </xf>
    <xf numFmtId="4" fontId="0" fillId="0" borderId="0" xfId="0" applyNumberFormat="1" applyBorder="1" applyAlignment="1" applyProtection="1">
      <alignment horizontal="right" vertical="center"/>
      <protection locked="0"/>
    </xf>
    <xf numFmtId="0" fontId="24" fillId="2" borderId="0" xfId="0" applyFont="1" applyFill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4" fontId="13" fillId="2" borderId="18" xfId="0" applyNumberFormat="1" applyFont="1" applyFill="1" applyBorder="1" applyAlignment="1">
      <alignment horizontal="right" vertical="center"/>
    </xf>
    <xf numFmtId="4" fontId="13" fillId="2" borderId="3" xfId="0" applyNumberFormat="1" applyFont="1" applyFill="1" applyBorder="1" applyAlignment="1">
      <alignment horizontal="right" vertical="center"/>
    </xf>
    <xf numFmtId="4" fontId="13" fillId="2" borderId="18" xfId="0" applyNumberFormat="1" applyFont="1" applyFill="1" applyBorder="1" applyAlignment="1" applyProtection="1">
      <alignment horizontal="right" vertical="center"/>
      <protection locked="0"/>
    </xf>
    <xf numFmtId="4" fontId="13" fillId="2" borderId="3" xfId="0" applyNumberFormat="1" applyFont="1" applyFill="1" applyBorder="1" applyAlignment="1" applyProtection="1">
      <alignment horizontal="right" vertical="center"/>
      <protection locked="0"/>
    </xf>
    <xf numFmtId="0" fontId="23" fillId="0" borderId="6" xfId="0" applyFont="1" applyBorder="1" applyAlignment="1" applyProtection="1">
      <alignment horizontal="left" vertical="center" wrapText="1"/>
      <protection locked="0"/>
    </xf>
    <xf numFmtId="0" fontId="23" fillId="0" borderId="7" xfId="0" applyFont="1" applyBorder="1" applyAlignment="1" applyProtection="1">
      <alignment horizontal="left" vertical="center" wrapText="1"/>
      <protection locked="0"/>
    </xf>
    <xf numFmtId="0" fontId="23" fillId="0" borderId="8" xfId="0" applyFont="1" applyBorder="1" applyAlignment="1" applyProtection="1">
      <alignment horizontal="left" vertical="center" wrapText="1"/>
      <protection locked="0"/>
    </xf>
    <xf numFmtId="0" fontId="23" fillId="0" borderId="19" xfId="0" applyFont="1" applyBorder="1" applyAlignment="1" applyProtection="1">
      <alignment horizontal="left" vertical="center" wrapText="1"/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23" fillId="0" borderId="20" xfId="0" applyFont="1" applyBorder="1" applyAlignment="1" applyProtection="1">
      <alignment horizontal="left" vertical="center" wrapText="1"/>
      <protection locked="0"/>
    </xf>
    <xf numFmtId="0" fontId="23" fillId="0" borderId="14" xfId="0" applyFont="1" applyBorder="1" applyAlignment="1" applyProtection="1">
      <alignment horizontal="left" vertical="center" wrapText="1"/>
      <protection locked="0"/>
    </xf>
    <xf numFmtId="0" fontId="23" fillId="0" borderId="1" xfId="0" applyFont="1" applyBorder="1" applyAlignment="1" applyProtection="1">
      <alignment horizontal="left" vertical="center" wrapText="1"/>
      <protection locked="0"/>
    </xf>
    <xf numFmtId="0" fontId="23" fillId="0" borderId="15" xfId="0" applyFont="1" applyBorder="1" applyAlignment="1" applyProtection="1">
      <alignment horizontal="left" vertical="center" wrapText="1"/>
      <protection locked="0"/>
    </xf>
    <xf numFmtId="164" fontId="14" fillId="2" borderId="18" xfId="0" applyNumberFormat="1" applyFont="1" applyFill="1" applyBorder="1" applyAlignment="1">
      <alignment horizontal="right" vertical="center"/>
    </xf>
    <xf numFmtId="164" fontId="14" fillId="2" borderId="3" xfId="0" applyNumberFormat="1" applyFont="1" applyFill="1" applyBorder="1" applyAlignment="1">
      <alignment horizontal="right" vertical="center"/>
    </xf>
    <xf numFmtId="0" fontId="0" fillId="0" borderId="11" xfId="0" applyBorder="1" applyAlignment="1" applyProtection="1">
      <alignment horizontal="left" vertical="center" indent="1"/>
      <protection locked="0"/>
    </xf>
    <xf numFmtId="0" fontId="0" fillId="0" borderId="12" xfId="0" applyBorder="1" applyAlignment="1" applyProtection="1">
      <alignment horizontal="left" vertical="center" indent="1"/>
      <protection locked="0"/>
    </xf>
    <xf numFmtId="0" fontId="0" fillId="0" borderId="13" xfId="0" applyBorder="1" applyAlignment="1" applyProtection="1">
      <alignment horizontal="left" vertical="center" indent="1"/>
      <protection locked="0"/>
    </xf>
    <xf numFmtId="0" fontId="0" fillId="0" borderId="11" xfId="0" applyBorder="1" applyAlignment="1" applyProtection="1">
      <alignment horizontal="right" vertical="center"/>
      <protection locked="0"/>
    </xf>
    <xf numFmtId="0" fontId="0" fillId="0" borderId="12" xfId="0" applyBorder="1" applyAlignment="1" applyProtection="1">
      <alignment horizontal="right" vertical="center"/>
      <protection locked="0"/>
    </xf>
    <xf numFmtId="4" fontId="0" fillId="0" borderId="11" xfId="0" applyNumberFormat="1" applyBorder="1" applyAlignment="1" applyProtection="1">
      <alignment horizontal="right" vertical="center"/>
      <protection locked="0"/>
    </xf>
    <xf numFmtId="4" fontId="0" fillId="0" borderId="12" xfId="0" applyNumberFormat="1" applyBorder="1" applyAlignment="1" applyProtection="1">
      <alignment horizontal="right" vertical="center"/>
      <protection locked="0"/>
    </xf>
    <xf numFmtId="4" fontId="11" fillId="0" borderId="11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0" fontId="0" fillId="0" borderId="14" xfId="0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left" vertical="center" indent="1"/>
      <protection locked="0"/>
    </xf>
    <xf numFmtId="0" fontId="0" fillId="0" borderId="15" xfId="0" applyBorder="1" applyAlignment="1" applyProtection="1">
      <alignment horizontal="left" vertical="center" indent="1"/>
      <protection locked="0"/>
    </xf>
    <xf numFmtId="0" fontId="0" fillId="0" borderId="14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horizontal="right" vertical="center"/>
      <protection locked="0"/>
    </xf>
    <xf numFmtId="4" fontId="0" fillId="0" borderId="16" xfId="0" applyNumberFormat="1" applyBorder="1" applyAlignment="1" applyProtection="1">
      <alignment horizontal="center" vertical="center"/>
      <protection locked="0"/>
    </xf>
    <xf numFmtId="4" fontId="0" fillId="0" borderId="17" xfId="0" applyNumberFormat="1" applyBorder="1" applyAlignment="1" applyProtection="1">
      <alignment horizontal="center" vertical="center"/>
      <protection locked="0"/>
    </xf>
    <xf numFmtId="4" fontId="11" fillId="0" borderId="16" xfId="0" applyNumberFormat="1" applyFont="1" applyBorder="1" applyAlignment="1">
      <alignment horizontal="right" vertical="center"/>
    </xf>
    <xf numFmtId="4" fontId="11" fillId="0" borderId="17" xfId="0" applyNumberFormat="1" applyFont="1" applyBorder="1" applyAlignment="1">
      <alignment horizontal="right" vertical="center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vertical="center"/>
      <protection locked="0"/>
    </xf>
    <xf numFmtId="0" fontId="0" fillId="0" borderId="12" xfId="0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19" fillId="0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0" fillId="0" borderId="6" xfId="0" applyBorder="1" applyAlignment="1" applyProtection="1">
      <alignment horizontal="left" vertical="center" indent="1"/>
      <protection locked="0"/>
    </xf>
    <xf numFmtId="0" fontId="0" fillId="0" borderId="7" xfId="0" applyBorder="1" applyAlignment="1" applyProtection="1">
      <alignment horizontal="left" vertical="center" indent="1"/>
      <protection locked="0"/>
    </xf>
    <xf numFmtId="0" fontId="0" fillId="0" borderId="8" xfId="0" applyBorder="1" applyAlignment="1" applyProtection="1">
      <alignment horizontal="left" vertical="center" indent="1"/>
      <protection locked="0"/>
    </xf>
    <xf numFmtId="0" fontId="9" fillId="0" borderId="6" xfId="0" applyFont="1" applyBorder="1" applyAlignment="1" applyProtection="1">
      <alignment horizontal="left" vertical="center" indent="1"/>
      <protection locked="0"/>
    </xf>
    <xf numFmtId="0" fontId="8" fillId="0" borderId="7" xfId="0" applyFont="1" applyBorder="1" applyAlignment="1" applyProtection="1">
      <alignment horizontal="left" vertical="center" indent="1"/>
      <protection locked="0"/>
    </xf>
    <xf numFmtId="0" fontId="8" fillId="0" borderId="8" xfId="0" applyFont="1" applyBorder="1" applyAlignment="1" applyProtection="1">
      <alignment horizontal="left" vertical="center" indent="1"/>
      <protection locked="0"/>
    </xf>
    <xf numFmtId="0" fontId="0" fillId="0" borderId="6" xfId="0" applyBorder="1" applyAlignment="1" applyProtection="1">
      <alignment horizontal="right" vertical="center"/>
      <protection locked="0"/>
    </xf>
    <xf numFmtId="0" fontId="0" fillId="0" borderId="7" xfId="0" applyBorder="1" applyAlignment="1" applyProtection="1">
      <alignment horizontal="right" vertical="center"/>
      <protection locked="0"/>
    </xf>
    <xf numFmtId="4" fontId="0" fillId="0" borderId="9" xfId="0" applyNumberFormat="1" applyBorder="1" applyAlignment="1" applyProtection="1">
      <alignment horizontal="right" vertical="center"/>
      <protection locked="0"/>
    </xf>
    <xf numFmtId="4" fontId="0" fillId="0" borderId="10" xfId="0" applyNumberFormat="1" applyBorder="1" applyAlignment="1" applyProtection="1">
      <alignment horizontal="right" vertical="center"/>
      <protection locked="0"/>
    </xf>
    <xf numFmtId="4" fontId="11" fillId="0" borderId="9" xfId="0" applyNumberFormat="1" applyFont="1" applyBorder="1" applyAlignment="1">
      <alignment horizontal="right" vertical="center"/>
    </xf>
    <xf numFmtId="4" fontId="11" fillId="0" borderId="10" xfId="0" applyNumberFormat="1" applyFont="1" applyBorder="1" applyAlignment="1">
      <alignment horizontal="right" vertical="center"/>
    </xf>
    <xf numFmtId="15" fontId="0" fillId="2" borderId="3" xfId="0" applyNumberForma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16" fillId="2" borderId="0" xfId="0" applyFont="1" applyFill="1" applyAlignment="1">
      <alignment horizontal="center"/>
    </xf>
    <xf numFmtId="0" fontId="17" fillId="2" borderId="0" xfId="0" applyFont="1" applyFill="1" applyAlignment="1">
      <alignment horizontal="right" vertical="center"/>
    </xf>
    <xf numFmtId="15" fontId="0" fillId="2" borderId="0" xfId="0" applyNumberFormat="1" applyFill="1" applyAlignment="1">
      <alignment horizontal="left"/>
    </xf>
    <xf numFmtId="0" fontId="0" fillId="2" borderId="0" xfId="0" applyFill="1" applyAlignment="1" applyProtection="1">
      <alignment horizontal="left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1">
    <dxf>
      <font>
        <condense val="0"/>
        <extend val="0"/>
        <color indexed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119</xdr:row>
      <xdr:rowOff>76200</xdr:rowOff>
    </xdr:from>
    <xdr:to>
      <xdr:col>7</xdr:col>
      <xdr:colOff>285750</xdr:colOff>
      <xdr:row>132</xdr:row>
      <xdr:rowOff>95250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>
          <a:off x="5105400" y="17078325"/>
          <a:ext cx="257175" cy="1876425"/>
        </a:xfrm>
        <a:prstGeom prst="rightBrace">
          <a:avLst>
            <a:gd name="adj1" fmla="val 8333"/>
            <a:gd name="adj2" fmla="val 4593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542925</xdr:colOff>
      <xdr:row>232</xdr:row>
      <xdr:rowOff>66675</xdr:rowOff>
    </xdr:from>
    <xdr:to>
      <xdr:col>7</xdr:col>
      <xdr:colOff>238125</xdr:colOff>
      <xdr:row>235</xdr:row>
      <xdr:rowOff>85725</xdr:rowOff>
    </xdr:to>
    <xdr:cxnSp macro="">
      <xdr:nvCxnSpPr>
        <xdr:cNvPr id="2" name="Straight Connector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>
          <a:cxnSpLocks noChangeShapeType="1"/>
        </xdr:cNvCxnSpPr>
      </xdr:nvCxnSpPr>
      <xdr:spPr bwMode="auto">
        <a:xfrm>
          <a:off x="5010150" y="33213675"/>
          <a:ext cx="304800" cy="44767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495300</xdr:colOff>
      <xdr:row>237</xdr:row>
      <xdr:rowOff>57150</xdr:rowOff>
    </xdr:from>
    <xdr:to>
      <xdr:col>7</xdr:col>
      <xdr:colOff>276225</xdr:colOff>
      <xdr:row>242</xdr:row>
      <xdr:rowOff>66675</xdr:rowOff>
    </xdr:to>
    <xdr:cxnSp macro="">
      <xdr:nvCxnSpPr>
        <xdr:cNvPr id="3" name="Straight Connector 3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>
          <a:cxnSpLocks noChangeShapeType="1"/>
        </xdr:cNvCxnSpPr>
      </xdr:nvCxnSpPr>
      <xdr:spPr bwMode="auto">
        <a:xfrm flipH="1">
          <a:off x="4962525" y="33918525"/>
          <a:ext cx="390525" cy="7239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152400</xdr:rowOff>
    </xdr:from>
    <xdr:to>
      <xdr:col>17</xdr:col>
      <xdr:colOff>133350</xdr:colOff>
      <xdr:row>8</xdr:row>
      <xdr:rowOff>66675</xdr:rowOff>
    </xdr:to>
    <xdr:pic>
      <xdr:nvPicPr>
        <xdr:cNvPr id="2" name="Picture 1" descr="TR-BCLogoLg0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2900"/>
          <a:ext cx="31432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10</xdr:row>
      <xdr:rowOff>57150</xdr:rowOff>
    </xdr:from>
    <xdr:to>
      <xdr:col>34</xdr:col>
      <xdr:colOff>133350</xdr:colOff>
      <xdr:row>10</xdr:row>
      <xdr:rowOff>57150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>
          <a:spLocks noChangeShapeType="1"/>
        </xdr:cNvSpPr>
      </xdr:nvSpPr>
      <xdr:spPr bwMode="auto">
        <a:xfrm>
          <a:off x="38100" y="1676400"/>
          <a:ext cx="624840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161925</xdr:colOff>
      <xdr:row>35</xdr:row>
      <xdr:rowOff>152400</xdr:rowOff>
    </xdr:from>
    <xdr:to>
      <xdr:col>7</xdr:col>
      <xdr:colOff>0</xdr:colOff>
      <xdr:row>39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6781800"/>
          <a:ext cx="1981200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123825</xdr:colOff>
      <xdr:row>17</xdr:row>
      <xdr:rowOff>142875</xdr:rowOff>
    </xdr:from>
    <xdr:to>
      <xdr:col>14</xdr:col>
      <xdr:colOff>0</xdr:colOff>
      <xdr:row>18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2857500"/>
          <a:ext cx="21240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GV/20130330/Cash_Register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Invoices"/>
      <sheetName val="Ctrl_R"/>
      <sheetName val="Estimate"/>
      <sheetName val="Ctrl_G"/>
      <sheetName val="Mar-13"/>
      <sheetName val="Weekly"/>
      <sheetName val="Monthly"/>
      <sheetName val="LookupList"/>
      <sheetName val="Statement"/>
      <sheetName val="Feb-13"/>
      <sheetName val="Jan-13"/>
      <sheetName val="Dec-12"/>
      <sheetName val="Nov-12"/>
      <sheetName val="Oct-12"/>
      <sheetName val="Sep-12"/>
      <sheetName val="Aug-12"/>
      <sheetName val="Jul-12"/>
      <sheetName val="Jun-12"/>
      <sheetName val="May-12"/>
      <sheetName val="Apr-12"/>
      <sheetName val="Mar-12"/>
      <sheetName val="Feb-12"/>
      <sheetName val="Jan-12"/>
      <sheetName val="Dec-11"/>
      <sheetName val="Nov-11"/>
      <sheetName val="Oct-11"/>
      <sheetName val="Sep-11"/>
      <sheetName val="Aug-11"/>
      <sheetName val="Jul-11"/>
      <sheetName val="Jun-11"/>
      <sheetName val="May-11"/>
      <sheetName val="Apr-11"/>
      <sheetName val="Mar-11"/>
      <sheetName val="Feb-11"/>
      <sheetName val="Jan-11"/>
      <sheetName val="Master"/>
      <sheetName val="E_Master"/>
      <sheetName val="Master Register"/>
      <sheetName val="Due"/>
      <sheetName val="Perpetual"/>
      <sheetName val="Test 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0">
          <cell r="F30">
            <v>653.66999999999996</v>
          </cell>
        </row>
        <row r="31">
          <cell r="F31">
            <v>1742.01</v>
          </cell>
        </row>
        <row r="32">
          <cell r="F32">
            <v>1348.05</v>
          </cell>
        </row>
        <row r="33">
          <cell r="F33">
            <v>3165.85</v>
          </cell>
        </row>
        <row r="34">
          <cell r="F34">
            <v>2470.44</v>
          </cell>
        </row>
        <row r="35">
          <cell r="F35">
            <v>2102.29</v>
          </cell>
        </row>
        <row r="36">
          <cell r="F36">
            <v>4385.84</v>
          </cell>
        </row>
        <row r="37">
          <cell r="F37">
            <v>3176.69</v>
          </cell>
        </row>
        <row r="38">
          <cell r="F38">
            <v>3055.08</v>
          </cell>
        </row>
        <row r="39">
          <cell r="F39">
            <v>2907.36</v>
          </cell>
        </row>
        <row r="40">
          <cell r="F40">
            <v>2171.2399999999998</v>
          </cell>
        </row>
        <row r="41">
          <cell r="F41">
            <v>2243.6800000000003</v>
          </cell>
        </row>
        <row r="42">
          <cell r="F42">
            <v>2379.8000000000002</v>
          </cell>
        </row>
        <row r="43">
          <cell r="F43">
            <v>3310.99</v>
          </cell>
        </row>
        <row r="44">
          <cell r="F44">
            <v>2175.0699999999997</v>
          </cell>
        </row>
        <row r="45">
          <cell r="F45">
            <v>4629.42</v>
          </cell>
        </row>
        <row r="46">
          <cell r="F46">
            <v>3193.88</v>
          </cell>
        </row>
        <row r="47">
          <cell r="F47">
            <v>2535.84</v>
          </cell>
        </row>
        <row r="48">
          <cell r="F48">
            <v>3529.8769249999996</v>
          </cell>
        </row>
        <row r="49">
          <cell r="F49">
            <v>4832.9338749999997</v>
          </cell>
        </row>
        <row r="50">
          <cell r="F50">
            <v>1974.7984999999996</v>
          </cell>
        </row>
        <row r="51">
          <cell r="F51">
            <v>2257.84</v>
          </cell>
        </row>
        <row r="52">
          <cell r="F52">
            <v>2577</v>
          </cell>
        </row>
        <row r="53">
          <cell r="F53">
            <v>2731.97</v>
          </cell>
        </row>
        <row r="54">
          <cell r="F54">
            <v>2438.79</v>
          </cell>
        </row>
        <row r="55">
          <cell r="F55">
            <v>2485.88</v>
          </cell>
        </row>
        <row r="56">
          <cell r="F56">
            <v>1605.28</v>
          </cell>
        </row>
        <row r="57">
          <cell r="F57">
            <v>2252</v>
          </cell>
        </row>
        <row r="58">
          <cell r="F58">
            <v>3037.96</v>
          </cell>
        </row>
        <row r="59">
          <cell r="F59">
            <v>1597.49</v>
          </cell>
        </row>
        <row r="60">
          <cell r="F60">
            <v>3430.45</v>
          </cell>
        </row>
        <row r="61">
          <cell r="F61">
            <v>2450.17</v>
          </cell>
        </row>
        <row r="62">
          <cell r="F62">
            <v>2164.6999999999998</v>
          </cell>
        </row>
        <row r="63">
          <cell r="F63">
            <v>1924.25</v>
          </cell>
        </row>
        <row r="64">
          <cell r="F64">
            <v>3454.96</v>
          </cell>
        </row>
        <row r="65">
          <cell r="F65">
            <v>2153.65</v>
          </cell>
        </row>
        <row r="66">
          <cell r="F66">
            <v>2326.52</v>
          </cell>
        </row>
        <row r="67">
          <cell r="F67">
            <v>2882</v>
          </cell>
        </row>
        <row r="68">
          <cell r="F68">
            <v>1972.28</v>
          </cell>
        </row>
        <row r="69">
          <cell r="F69">
            <v>4457.9399999999996</v>
          </cell>
        </row>
        <row r="70">
          <cell r="F70">
            <v>3731.69</v>
          </cell>
        </row>
        <row r="71">
          <cell r="F71">
            <v>2253.16</v>
          </cell>
        </row>
        <row r="72">
          <cell r="F72">
            <v>1575</v>
          </cell>
        </row>
        <row r="73">
          <cell r="F73">
            <v>1805.86</v>
          </cell>
        </row>
        <row r="74">
          <cell r="F74">
            <v>3299.65</v>
          </cell>
        </row>
        <row r="75">
          <cell r="F75">
            <v>2709.4900000000002</v>
          </cell>
        </row>
        <row r="76">
          <cell r="F76">
            <v>2442.89</v>
          </cell>
        </row>
        <row r="77">
          <cell r="F77">
            <v>2021.7</v>
          </cell>
        </row>
        <row r="78">
          <cell r="F78">
            <v>2234.4699999999998</v>
          </cell>
        </row>
        <row r="79">
          <cell r="F79">
            <v>1539.43</v>
          </cell>
        </row>
        <row r="80">
          <cell r="F80">
            <v>1756.09</v>
          </cell>
        </row>
        <row r="81">
          <cell r="F81">
            <v>2028.2700000000002</v>
          </cell>
        </row>
        <row r="82">
          <cell r="F82">
            <v>4032.98</v>
          </cell>
        </row>
        <row r="83">
          <cell r="F83">
            <v>1194.68</v>
          </cell>
        </row>
        <row r="84">
          <cell r="F84">
            <v>2481.4299999999998</v>
          </cell>
        </row>
        <row r="85">
          <cell r="F85">
            <v>4484.8</v>
          </cell>
        </row>
        <row r="86">
          <cell r="F86">
            <v>3616.31</v>
          </cell>
        </row>
        <row r="87">
          <cell r="F87">
            <v>3817.54</v>
          </cell>
        </row>
        <row r="88">
          <cell r="F88">
            <v>4521.33</v>
          </cell>
        </row>
        <row r="89">
          <cell r="F89">
            <v>4916.37</v>
          </cell>
        </row>
        <row r="90">
          <cell r="F90">
            <v>4871.05</v>
          </cell>
        </row>
        <row r="91">
          <cell r="F91">
            <v>5659.78</v>
          </cell>
        </row>
        <row r="92">
          <cell r="F92">
            <v>5274.38</v>
          </cell>
        </row>
        <row r="93">
          <cell r="F93">
            <v>3703.66</v>
          </cell>
        </row>
        <row r="94">
          <cell r="F94">
            <v>3148.66</v>
          </cell>
        </row>
        <row r="95">
          <cell r="F95">
            <v>5473.9400000000005</v>
          </cell>
        </row>
        <row r="96">
          <cell r="F96">
            <v>4345.8</v>
          </cell>
        </row>
        <row r="97">
          <cell r="F97">
            <v>4225.7299999999996</v>
          </cell>
        </row>
        <row r="98">
          <cell r="F98">
            <v>4363.13</v>
          </cell>
        </row>
        <row r="99">
          <cell r="F99">
            <v>2626.9</v>
          </cell>
        </row>
        <row r="100">
          <cell r="F100">
            <v>3557.63</v>
          </cell>
        </row>
        <row r="101">
          <cell r="F101">
            <v>3364.22</v>
          </cell>
        </row>
        <row r="102">
          <cell r="F102">
            <v>5279.7</v>
          </cell>
        </row>
        <row r="103">
          <cell r="F103">
            <v>5455.43</v>
          </cell>
        </row>
        <row r="104">
          <cell r="F104">
            <v>3836.21</v>
          </cell>
        </row>
        <row r="105">
          <cell r="F105">
            <v>3129.65</v>
          </cell>
        </row>
        <row r="106">
          <cell r="F106">
            <v>4265.62</v>
          </cell>
        </row>
        <row r="107">
          <cell r="F107">
            <v>2922.58</v>
          </cell>
        </row>
        <row r="108">
          <cell r="F108">
            <v>1534.75</v>
          </cell>
        </row>
        <row r="109">
          <cell r="F109">
            <v>2209.5100000000002</v>
          </cell>
        </row>
        <row r="110">
          <cell r="F110">
            <v>2987.53</v>
          </cell>
        </row>
        <row r="111">
          <cell r="F111">
            <v>2576.2199999999998</v>
          </cell>
        </row>
        <row r="112">
          <cell r="F112">
            <v>2457.31</v>
          </cell>
        </row>
        <row r="113">
          <cell r="F113">
            <v>4326.58</v>
          </cell>
        </row>
        <row r="114">
          <cell r="F114">
            <v>3275.2</v>
          </cell>
        </row>
        <row r="115">
          <cell r="F115">
            <v>3181.78</v>
          </cell>
        </row>
        <row r="116">
          <cell r="F116">
            <v>4100.95</v>
          </cell>
        </row>
        <row r="117">
          <cell r="F117">
            <v>3400.43</v>
          </cell>
        </row>
        <row r="118">
          <cell r="F118">
            <v>3346.62</v>
          </cell>
        </row>
        <row r="119">
          <cell r="F119">
            <v>3692.52</v>
          </cell>
        </row>
        <row r="120">
          <cell r="F120">
            <v>2630.5</v>
          </cell>
        </row>
        <row r="121">
          <cell r="F121">
            <v>3903.28</v>
          </cell>
        </row>
        <row r="122">
          <cell r="F122">
            <v>5530.74</v>
          </cell>
        </row>
        <row r="123">
          <cell r="F123">
            <v>3259.31</v>
          </cell>
        </row>
        <row r="124">
          <cell r="F124">
            <v>2157.36</v>
          </cell>
        </row>
        <row r="125">
          <cell r="F125">
            <v>3669.93</v>
          </cell>
        </row>
        <row r="126">
          <cell r="F126">
            <v>2114.36</v>
          </cell>
        </row>
        <row r="127">
          <cell r="F127">
            <v>3646.14</v>
          </cell>
        </row>
        <row r="128">
          <cell r="F128">
            <v>5079.34</v>
          </cell>
        </row>
        <row r="129">
          <cell r="F129">
            <v>2977.4</v>
          </cell>
        </row>
        <row r="130">
          <cell r="F130">
            <v>2337.9</v>
          </cell>
        </row>
        <row r="131">
          <cell r="F131">
            <v>2549.14</v>
          </cell>
        </row>
        <row r="132">
          <cell r="F132">
            <v>2221.3000000000002</v>
          </cell>
        </row>
        <row r="133">
          <cell r="F133">
            <v>2986.06</v>
          </cell>
        </row>
        <row r="134">
          <cell r="F134">
            <v>1797.27</v>
          </cell>
        </row>
        <row r="135">
          <cell r="F135">
            <v>3639.67</v>
          </cell>
        </row>
        <row r="136">
          <cell r="F136">
            <v>2208.2199999999998</v>
          </cell>
        </row>
        <row r="137">
          <cell r="F137">
            <v>2076.41</v>
          </cell>
        </row>
        <row r="138">
          <cell r="F138">
            <v>4529.95</v>
          </cell>
        </row>
        <row r="139">
          <cell r="F139">
            <v>3106.23</v>
          </cell>
        </row>
        <row r="140">
          <cell r="F140">
            <v>3798.56</v>
          </cell>
        </row>
        <row r="141">
          <cell r="F141">
            <v>5387.82</v>
          </cell>
        </row>
        <row r="142">
          <cell r="F142">
            <v>5108.45</v>
          </cell>
        </row>
        <row r="143">
          <cell r="F143">
            <v>4703.1000000000004</v>
          </cell>
        </row>
        <row r="144">
          <cell r="F144">
            <v>5316.62</v>
          </cell>
        </row>
        <row r="145">
          <cell r="F145">
            <v>3592.87</v>
          </cell>
        </row>
        <row r="146">
          <cell r="F146">
            <v>5672.72</v>
          </cell>
        </row>
        <row r="147">
          <cell r="F147">
            <v>5497.68</v>
          </cell>
        </row>
        <row r="148">
          <cell r="F148">
            <v>5378.84</v>
          </cell>
        </row>
        <row r="149">
          <cell r="F149">
            <v>7205.5</v>
          </cell>
        </row>
        <row r="150">
          <cell r="F150">
            <v>5426.16</v>
          </cell>
        </row>
        <row r="151">
          <cell r="F151">
            <v>5101.82</v>
          </cell>
        </row>
        <row r="152">
          <cell r="F152">
            <v>3991.55</v>
          </cell>
        </row>
        <row r="153">
          <cell r="F153">
            <v>4839.58</v>
          </cell>
        </row>
        <row r="154">
          <cell r="F154">
            <v>3885.5</v>
          </cell>
        </row>
        <row r="155">
          <cell r="F155">
            <v>3401.24</v>
          </cell>
        </row>
        <row r="156">
          <cell r="F156">
            <v>3143.07</v>
          </cell>
        </row>
        <row r="157">
          <cell r="F157">
            <v>3791.32</v>
          </cell>
        </row>
        <row r="158">
          <cell r="F158">
            <v>4821.84</v>
          </cell>
        </row>
        <row r="159">
          <cell r="F159">
            <v>4156.63</v>
          </cell>
        </row>
        <row r="160">
          <cell r="F160">
            <v>3576</v>
          </cell>
        </row>
        <row r="161">
          <cell r="F161">
            <v>4242.38</v>
          </cell>
        </row>
        <row r="162">
          <cell r="F162">
            <v>5119.13</v>
          </cell>
        </row>
        <row r="163">
          <cell r="F163">
            <v>2821.36</v>
          </cell>
        </row>
        <row r="164">
          <cell r="F164">
            <v>3305.18</v>
          </cell>
        </row>
        <row r="165">
          <cell r="F165">
            <v>3738.64</v>
          </cell>
        </row>
        <row r="166">
          <cell r="F166">
            <v>3817.62</v>
          </cell>
        </row>
        <row r="167">
          <cell r="F167">
            <v>4201.6499999999996</v>
          </cell>
        </row>
        <row r="168">
          <cell r="F168">
            <v>3130.62</v>
          </cell>
        </row>
        <row r="169">
          <cell r="F169">
            <v>5092.9799999999996</v>
          </cell>
        </row>
        <row r="170">
          <cell r="F170">
            <v>4728.1000000000004</v>
          </cell>
        </row>
        <row r="171">
          <cell r="F171">
            <v>4054.19</v>
          </cell>
        </row>
        <row r="172">
          <cell r="F172">
            <v>4674.6000000000004</v>
          </cell>
        </row>
        <row r="173">
          <cell r="F173">
            <v>4497.2</v>
          </cell>
        </row>
        <row r="174">
          <cell r="F174">
            <v>6016.51</v>
          </cell>
        </row>
        <row r="175">
          <cell r="F175">
            <v>4649.1400000000003</v>
          </cell>
        </row>
        <row r="176">
          <cell r="F176">
            <v>4989.4399999999996</v>
          </cell>
        </row>
        <row r="177">
          <cell r="F177">
            <v>2403.38</v>
          </cell>
        </row>
        <row r="178">
          <cell r="F178">
            <v>3473.63</v>
          </cell>
        </row>
        <row r="179">
          <cell r="F179">
            <v>3929.12</v>
          </cell>
        </row>
        <row r="180">
          <cell r="F180">
            <v>3619.49</v>
          </cell>
        </row>
        <row r="181">
          <cell r="F181">
            <v>2306.5700000000002</v>
          </cell>
        </row>
        <row r="182">
          <cell r="F182">
            <v>3846.33</v>
          </cell>
        </row>
        <row r="183">
          <cell r="F183">
            <v>1999.83</v>
          </cell>
        </row>
        <row r="184">
          <cell r="F184">
            <v>1958.94</v>
          </cell>
        </row>
        <row r="185">
          <cell r="F185">
            <v>2466.0700000000002</v>
          </cell>
        </row>
        <row r="186">
          <cell r="F186">
            <v>4612.2700000000004</v>
          </cell>
        </row>
        <row r="187">
          <cell r="F187">
            <v>4625.3599999999997</v>
          </cell>
        </row>
        <row r="188">
          <cell r="F188">
            <v>3780.64</v>
          </cell>
        </row>
        <row r="189">
          <cell r="F189">
            <v>4104.0200000000004</v>
          </cell>
        </row>
        <row r="190">
          <cell r="F190">
            <v>5458.79</v>
          </cell>
        </row>
        <row r="191">
          <cell r="F191">
            <v>4507.26</v>
          </cell>
        </row>
        <row r="192">
          <cell r="F192">
            <v>5169.7</v>
          </cell>
        </row>
        <row r="193">
          <cell r="F193">
            <v>4554.07</v>
          </cell>
        </row>
        <row r="194">
          <cell r="F194">
            <v>6285.53</v>
          </cell>
        </row>
        <row r="195">
          <cell r="F195">
            <v>7084.53</v>
          </cell>
        </row>
        <row r="196">
          <cell r="F196">
            <v>8473.66</v>
          </cell>
        </row>
        <row r="197">
          <cell r="F197">
            <v>8654.56</v>
          </cell>
        </row>
        <row r="198">
          <cell r="F198">
            <v>5057.67</v>
          </cell>
        </row>
        <row r="199">
          <cell r="F199">
            <v>5062.13</v>
          </cell>
        </row>
        <row r="200">
          <cell r="F200">
            <v>7083.35</v>
          </cell>
        </row>
        <row r="201">
          <cell r="F201">
            <v>8543.08</v>
          </cell>
        </row>
        <row r="202">
          <cell r="F202">
            <v>5442.18</v>
          </cell>
        </row>
        <row r="203">
          <cell r="F203">
            <v>7410.49</v>
          </cell>
        </row>
        <row r="204">
          <cell r="F204">
            <v>5741.01</v>
          </cell>
        </row>
        <row r="205">
          <cell r="F205">
            <v>5192.8</v>
          </cell>
        </row>
        <row r="206">
          <cell r="F206">
            <v>6697.35</v>
          </cell>
        </row>
        <row r="207">
          <cell r="F207">
            <v>5121.3500000000004</v>
          </cell>
        </row>
        <row r="208">
          <cell r="F208">
            <v>3946.34</v>
          </cell>
        </row>
        <row r="209">
          <cell r="F209">
            <v>4793.1399999999994</v>
          </cell>
        </row>
        <row r="210">
          <cell r="F210">
            <v>4179.17</v>
          </cell>
        </row>
        <row r="211">
          <cell r="F211">
            <v>4670.3900000000003</v>
          </cell>
        </row>
        <row r="212">
          <cell r="F212">
            <v>5317.83</v>
          </cell>
        </row>
        <row r="213">
          <cell r="F213">
            <v>3481.06</v>
          </cell>
        </row>
        <row r="214">
          <cell r="F214">
            <v>4702.43</v>
          </cell>
        </row>
        <row r="215">
          <cell r="F215">
            <v>4339.5</v>
          </cell>
        </row>
        <row r="216">
          <cell r="F216">
            <v>4072.19</v>
          </cell>
        </row>
        <row r="217">
          <cell r="F217">
            <v>4113.1000000000004</v>
          </cell>
        </row>
        <row r="218">
          <cell r="F218">
            <v>4886.03</v>
          </cell>
        </row>
        <row r="219">
          <cell r="F219">
            <v>4326.3100000000004</v>
          </cell>
        </row>
        <row r="220">
          <cell r="F220">
            <v>5163.43</v>
          </cell>
        </row>
        <row r="221">
          <cell r="F221">
            <v>4674.6400000000003</v>
          </cell>
        </row>
        <row r="222">
          <cell r="F222">
            <v>3507.09</v>
          </cell>
        </row>
        <row r="223">
          <cell r="F223">
            <v>4933.63</v>
          </cell>
        </row>
        <row r="224">
          <cell r="F224">
            <v>5464.25</v>
          </cell>
        </row>
        <row r="225">
          <cell r="F225">
            <v>4883.78</v>
          </cell>
        </row>
        <row r="226">
          <cell r="F226">
            <v>8442.44</v>
          </cell>
        </row>
        <row r="227">
          <cell r="F227">
            <v>6771.8</v>
          </cell>
        </row>
        <row r="228">
          <cell r="F228">
            <v>6091.43</v>
          </cell>
        </row>
        <row r="229">
          <cell r="F229">
            <v>7245.03</v>
          </cell>
        </row>
        <row r="230">
          <cell r="F230">
            <v>6208.12</v>
          </cell>
        </row>
        <row r="231">
          <cell r="F231">
            <v>5640.24</v>
          </cell>
        </row>
        <row r="232">
          <cell r="F232">
            <v>3140.23</v>
          </cell>
        </row>
        <row r="233">
          <cell r="F233">
            <v>4616.17</v>
          </cell>
        </row>
        <row r="234">
          <cell r="F234">
            <v>5555.74</v>
          </cell>
        </row>
        <row r="235">
          <cell r="F235">
            <v>5804.34</v>
          </cell>
        </row>
        <row r="236">
          <cell r="F236">
            <v>2946.6</v>
          </cell>
        </row>
        <row r="237">
          <cell r="F237">
            <v>4664.6400000000003</v>
          </cell>
        </row>
        <row r="238">
          <cell r="F238">
            <v>3792.03</v>
          </cell>
        </row>
        <row r="239">
          <cell r="F239">
            <v>1562.35</v>
          </cell>
        </row>
        <row r="240">
          <cell r="F240">
            <v>2661.98</v>
          </cell>
        </row>
        <row r="241">
          <cell r="F241">
            <v>4486.0600000000004</v>
          </cell>
        </row>
        <row r="242">
          <cell r="F242">
            <v>4276.95</v>
          </cell>
        </row>
        <row r="243">
          <cell r="F243">
            <v>3509.57</v>
          </cell>
        </row>
        <row r="244">
          <cell r="F244">
            <v>8787.01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511"/>
  <sheetViews>
    <sheetView tabSelected="1" topLeftCell="A2" workbookViewId="0">
      <pane ySplit="1" topLeftCell="A467" activePane="bottomLeft" state="frozen"/>
      <selection activeCell="A2" sqref="A2"/>
      <selection pane="bottomLeft" activeCell="D511" sqref="D511"/>
    </sheetView>
  </sheetViews>
  <sheetFormatPr defaultColWidth="9.140625" defaultRowHeight="11.25" x14ac:dyDescent="0.2"/>
  <cols>
    <col min="1" max="1" width="10.42578125" style="77" customWidth="1"/>
    <col min="2" max="2" width="0.140625" style="77" customWidth="1"/>
    <col min="3" max="3" width="2.140625" style="77" hidden="1" customWidth="1"/>
    <col min="4" max="4" width="7.42578125" style="77" customWidth="1"/>
    <col min="5" max="5" width="7.140625" style="77" hidden="1" customWidth="1"/>
    <col min="6" max="6" width="7.140625" style="78" hidden="1" customWidth="1"/>
    <col min="7" max="8" width="7.140625" style="77" bestFit="1" customWidth="1"/>
    <col min="9" max="9" width="7.140625" style="77" customWidth="1"/>
    <col min="10" max="10" width="8.7109375" style="77" customWidth="1"/>
    <col min="11" max="12" width="7.140625" style="77" customWidth="1"/>
    <col min="13" max="13" width="9.28515625" style="77" customWidth="1"/>
    <col min="14" max="14" width="5" style="77" customWidth="1"/>
    <col min="15" max="15" width="10.140625" style="77" customWidth="1"/>
    <col min="16" max="16" width="10" style="77" bestFit="1" customWidth="1"/>
    <col min="17" max="17" width="10.42578125" style="77" bestFit="1" customWidth="1"/>
    <col min="18" max="19" width="9.140625" style="77"/>
    <col min="20" max="20" width="8.140625" style="77" customWidth="1"/>
    <col min="21" max="16384" width="9.140625" style="77"/>
  </cols>
  <sheetData>
    <row r="1" spans="1:13" hidden="1" x14ac:dyDescent="0.2">
      <c r="B1" s="78" t="e">
        <f>+#REF!</f>
        <v>#REF!</v>
      </c>
      <c r="C1" s="78" t="e">
        <f>+#REF!</f>
        <v>#REF!</v>
      </c>
      <c r="D1" s="78" t="e">
        <f>SUM(#REF!)+SUM(#REF!)+SUM(#REF!)</f>
        <v>#REF!</v>
      </c>
      <c r="F1" s="79" t="e">
        <f>SUM(B1:D1)</f>
        <v>#REF!</v>
      </c>
      <c r="G1" s="79">
        <f>SUM(F4:F75)</f>
        <v>134277.51929999999</v>
      </c>
      <c r="I1" s="80"/>
    </row>
    <row r="2" spans="1:13" ht="42.75" customHeight="1" x14ac:dyDescent="0.2">
      <c r="A2" s="81" t="s">
        <v>137</v>
      </c>
      <c r="B2" s="81" t="s">
        <v>138</v>
      </c>
      <c r="C2" s="81" t="s">
        <v>139</v>
      </c>
      <c r="D2" s="81" t="s">
        <v>140</v>
      </c>
      <c r="F2" s="81" t="s">
        <v>141</v>
      </c>
      <c r="G2" s="81" t="s">
        <v>142</v>
      </c>
      <c r="H2" s="81" t="s">
        <v>143</v>
      </c>
      <c r="I2" s="82" t="s">
        <v>144</v>
      </c>
      <c r="J2" s="82" t="s">
        <v>145</v>
      </c>
      <c r="K2" s="82" t="s">
        <v>146</v>
      </c>
      <c r="L2" s="82" t="s">
        <v>147</v>
      </c>
      <c r="M2" s="82" t="s">
        <v>493</v>
      </c>
    </row>
    <row r="3" spans="1:13" x14ac:dyDescent="0.2">
      <c r="A3" s="81"/>
      <c r="F3" s="81"/>
      <c r="I3" s="80"/>
    </row>
    <row r="4" spans="1:13" x14ac:dyDescent="0.2">
      <c r="A4" s="83">
        <v>39635</v>
      </c>
      <c r="B4" s="79"/>
      <c r="C4" s="79"/>
      <c r="D4" s="79"/>
      <c r="F4" s="79">
        <f t="shared" ref="F4:F67" si="0">SUM(B4:D4)</f>
        <v>0</v>
      </c>
      <c r="G4" s="79"/>
      <c r="I4" s="80"/>
      <c r="M4" s="79">
        <f>+F4</f>
        <v>0</v>
      </c>
    </row>
    <row r="5" spans="1:13" x14ac:dyDescent="0.2">
      <c r="A5" s="83">
        <v>39642</v>
      </c>
      <c r="B5" s="84">
        <v>0.9</v>
      </c>
      <c r="D5" s="79"/>
      <c r="F5" s="79">
        <f t="shared" si="0"/>
        <v>0.9</v>
      </c>
      <c r="G5" s="79"/>
      <c r="I5" s="80"/>
      <c r="M5" s="79">
        <f>+M4+F5</f>
        <v>0.9</v>
      </c>
    </row>
    <row r="6" spans="1:13" x14ac:dyDescent="0.2">
      <c r="A6" s="83">
        <v>39649</v>
      </c>
      <c r="B6" s="84">
        <v>67.42</v>
      </c>
      <c r="C6" s="79">
        <v>6.5</v>
      </c>
      <c r="D6" s="79"/>
      <c r="F6" s="79">
        <f t="shared" si="0"/>
        <v>73.92</v>
      </c>
      <c r="G6" s="79"/>
      <c r="I6" s="80"/>
      <c r="M6" s="79">
        <f>+M5+F6</f>
        <v>74.820000000000007</v>
      </c>
    </row>
    <row r="7" spans="1:13" x14ac:dyDescent="0.2">
      <c r="A7" s="83">
        <v>39656</v>
      </c>
      <c r="B7" s="84">
        <v>0.75</v>
      </c>
      <c r="C7" s="79">
        <v>0</v>
      </c>
      <c r="D7" s="79"/>
      <c r="F7" s="79">
        <f t="shared" si="0"/>
        <v>0.75</v>
      </c>
      <c r="G7" s="79">
        <f t="shared" ref="G7:G70" si="1">AVERAGE(F4:F7)</f>
        <v>18.892500000000002</v>
      </c>
      <c r="I7" s="80"/>
      <c r="M7" s="79">
        <f>+M6+F7</f>
        <v>75.570000000000007</v>
      </c>
    </row>
    <row r="8" spans="1:13" x14ac:dyDescent="0.2">
      <c r="A8" s="83">
        <v>39663</v>
      </c>
      <c r="B8" s="84">
        <v>20.65</v>
      </c>
      <c r="C8" s="79">
        <v>64.010000000000005</v>
      </c>
      <c r="D8" s="79"/>
      <c r="F8" s="79">
        <f t="shared" si="0"/>
        <v>84.66</v>
      </c>
      <c r="G8" s="79">
        <f t="shared" si="1"/>
        <v>40.057500000000005</v>
      </c>
      <c r="I8" s="80"/>
      <c r="M8" s="79">
        <f t="shared" ref="M8:M38" si="2">+M7+F8</f>
        <v>160.23000000000002</v>
      </c>
    </row>
    <row r="9" spans="1:13" x14ac:dyDescent="0.2">
      <c r="A9" s="83">
        <v>39670</v>
      </c>
      <c r="B9" s="84">
        <v>62.96</v>
      </c>
      <c r="C9" s="79">
        <v>21.65</v>
      </c>
      <c r="D9" s="79"/>
      <c r="F9" s="79">
        <f t="shared" si="0"/>
        <v>84.61</v>
      </c>
      <c r="G9" s="79">
        <f t="shared" si="1"/>
        <v>60.984999999999999</v>
      </c>
      <c r="I9" s="80"/>
      <c r="M9" s="79">
        <f t="shared" si="2"/>
        <v>244.84000000000003</v>
      </c>
    </row>
    <row r="10" spans="1:13" x14ac:dyDescent="0.2">
      <c r="A10" s="83">
        <v>39677</v>
      </c>
      <c r="B10" s="84">
        <v>33.49</v>
      </c>
      <c r="C10" s="79">
        <v>396.37</v>
      </c>
      <c r="D10" s="79"/>
      <c r="F10" s="79">
        <f t="shared" si="0"/>
        <v>429.86</v>
      </c>
      <c r="G10" s="79">
        <f t="shared" si="1"/>
        <v>149.97</v>
      </c>
      <c r="I10" s="80"/>
      <c r="M10" s="79">
        <f t="shared" si="2"/>
        <v>674.7</v>
      </c>
    </row>
    <row r="11" spans="1:13" x14ac:dyDescent="0.2">
      <c r="A11" s="83">
        <v>39684</v>
      </c>
      <c r="B11" s="84">
        <v>21.65</v>
      </c>
      <c r="C11" s="79">
        <v>0</v>
      </c>
      <c r="D11" s="79"/>
      <c r="F11" s="79">
        <f t="shared" si="0"/>
        <v>21.65</v>
      </c>
      <c r="G11" s="79">
        <f t="shared" si="1"/>
        <v>155.19499999999999</v>
      </c>
      <c r="I11" s="80"/>
      <c r="M11" s="79">
        <f t="shared" si="2"/>
        <v>696.35</v>
      </c>
    </row>
    <row r="12" spans="1:13" x14ac:dyDescent="0.2">
      <c r="A12" s="83">
        <v>39691</v>
      </c>
      <c r="B12" s="84">
        <v>82.53</v>
      </c>
      <c r="C12" s="79">
        <v>0</v>
      </c>
      <c r="D12" s="79"/>
      <c r="F12" s="79">
        <f t="shared" si="0"/>
        <v>82.53</v>
      </c>
      <c r="G12" s="79">
        <f t="shared" si="1"/>
        <v>154.66249999999999</v>
      </c>
      <c r="I12" s="80"/>
      <c r="M12" s="79">
        <f t="shared" si="2"/>
        <v>778.88</v>
      </c>
    </row>
    <row r="13" spans="1:13" x14ac:dyDescent="0.2">
      <c r="A13" s="83">
        <v>39698</v>
      </c>
      <c r="B13" s="84">
        <v>44.73</v>
      </c>
      <c r="C13" s="79">
        <v>556.38</v>
      </c>
      <c r="D13" s="79"/>
      <c r="F13" s="79">
        <f t="shared" si="0"/>
        <v>601.11</v>
      </c>
      <c r="G13" s="79">
        <f t="shared" si="1"/>
        <v>283.78750000000002</v>
      </c>
      <c r="I13" s="80"/>
      <c r="M13" s="79">
        <f t="shared" si="2"/>
        <v>1379.99</v>
      </c>
    </row>
    <row r="14" spans="1:13" x14ac:dyDescent="0.2">
      <c r="A14" s="83">
        <v>39705</v>
      </c>
      <c r="B14" s="84">
        <v>177.35</v>
      </c>
      <c r="C14" s="79">
        <v>243.56</v>
      </c>
      <c r="D14" s="79"/>
      <c r="F14" s="79">
        <f t="shared" si="0"/>
        <v>420.90999999999997</v>
      </c>
      <c r="G14" s="79">
        <f t="shared" si="1"/>
        <v>281.54999999999995</v>
      </c>
      <c r="I14" s="80"/>
      <c r="M14" s="79">
        <f t="shared" si="2"/>
        <v>1800.9</v>
      </c>
    </row>
    <row r="15" spans="1:13" x14ac:dyDescent="0.2">
      <c r="A15" s="83">
        <v>39712</v>
      </c>
      <c r="B15" s="84">
        <v>0</v>
      </c>
      <c r="C15" s="79">
        <v>153.72</v>
      </c>
      <c r="D15" s="79"/>
      <c r="F15" s="79">
        <f t="shared" si="0"/>
        <v>153.72</v>
      </c>
      <c r="G15" s="79">
        <f t="shared" si="1"/>
        <v>314.5675</v>
      </c>
      <c r="H15" s="79"/>
      <c r="I15" s="80"/>
      <c r="M15" s="79">
        <f t="shared" si="2"/>
        <v>1954.6200000000001</v>
      </c>
    </row>
    <row r="16" spans="1:13" x14ac:dyDescent="0.2">
      <c r="A16" s="83">
        <v>39719</v>
      </c>
      <c r="B16" s="84">
        <v>294.76</v>
      </c>
      <c r="C16" s="79">
        <v>716.94</v>
      </c>
      <c r="D16" s="79"/>
      <c r="F16" s="79">
        <f t="shared" si="0"/>
        <v>1011.7</v>
      </c>
      <c r="G16" s="79">
        <f t="shared" si="1"/>
        <v>546.86</v>
      </c>
      <c r="H16" s="79">
        <f t="shared" ref="H16:H79" si="3">AVERAGE(F4:F16)</f>
        <v>228.17846153846156</v>
      </c>
      <c r="I16" s="80"/>
      <c r="M16" s="79">
        <f t="shared" si="2"/>
        <v>2966.32</v>
      </c>
    </row>
    <row r="17" spans="1:13" x14ac:dyDescent="0.2">
      <c r="A17" s="83">
        <v>39726</v>
      </c>
      <c r="B17" s="84">
        <v>295.42</v>
      </c>
      <c r="C17" s="79">
        <v>123.4</v>
      </c>
      <c r="D17" s="79"/>
      <c r="F17" s="79">
        <f t="shared" si="0"/>
        <v>418.82000000000005</v>
      </c>
      <c r="G17" s="79">
        <f t="shared" si="1"/>
        <v>501.28750000000002</v>
      </c>
      <c r="H17" s="79">
        <f t="shared" si="3"/>
        <v>260.39538461538461</v>
      </c>
      <c r="I17" s="80"/>
      <c r="M17" s="79">
        <f t="shared" si="2"/>
        <v>3385.1400000000003</v>
      </c>
    </row>
    <row r="18" spans="1:13" x14ac:dyDescent="0.2">
      <c r="A18" s="83">
        <v>39733</v>
      </c>
      <c r="B18" s="84">
        <v>955.63</v>
      </c>
      <c r="C18" s="79">
        <v>723.79</v>
      </c>
      <c r="D18" s="79"/>
      <c r="F18" s="79">
        <f t="shared" si="0"/>
        <v>1679.42</v>
      </c>
      <c r="G18" s="79">
        <f t="shared" si="1"/>
        <v>815.91500000000008</v>
      </c>
      <c r="H18" s="79">
        <f t="shared" si="3"/>
        <v>389.51230769230767</v>
      </c>
      <c r="I18" s="80"/>
      <c r="M18" s="79">
        <f t="shared" si="2"/>
        <v>5064.5600000000004</v>
      </c>
    </row>
    <row r="19" spans="1:13" x14ac:dyDescent="0.2">
      <c r="A19" s="83">
        <v>39740</v>
      </c>
      <c r="B19" s="84">
        <v>495.68</v>
      </c>
      <c r="C19" s="79">
        <v>217.37</v>
      </c>
      <c r="D19" s="79"/>
      <c r="F19" s="79">
        <f t="shared" si="0"/>
        <v>713.05</v>
      </c>
      <c r="G19" s="79">
        <f t="shared" si="1"/>
        <v>955.74749999999995</v>
      </c>
      <c r="H19" s="79">
        <f t="shared" si="3"/>
        <v>438.67615384615385</v>
      </c>
      <c r="I19" s="80"/>
      <c r="M19" s="79">
        <f t="shared" si="2"/>
        <v>5777.6100000000006</v>
      </c>
    </row>
    <row r="20" spans="1:13" x14ac:dyDescent="0.2">
      <c r="A20" s="83">
        <v>39747</v>
      </c>
      <c r="B20" s="84">
        <v>717.28</v>
      </c>
      <c r="C20" s="79">
        <v>322.77999999999997</v>
      </c>
      <c r="D20" s="79"/>
      <c r="F20" s="79">
        <f t="shared" si="0"/>
        <v>1040.06</v>
      </c>
      <c r="G20" s="79">
        <f t="shared" si="1"/>
        <v>962.83749999999998</v>
      </c>
      <c r="H20" s="79">
        <f t="shared" si="3"/>
        <v>518.62307692307695</v>
      </c>
      <c r="I20" s="80"/>
      <c r="M20" s="79">
        <f t="shared" si="2"/>
        <v>6817.67</v>
      </c>
    </row>
    <row r="21" spans="1:13" x14ac:dyDescent="0.2">
      <c r="A21" s="83">
        <v>39754</v>
      </c>
      <c r="B21" s="84">
        <v>216.51</v>
      </c>
      <c r="C21" s="79">
        <v>97.38</v>
      </c>
      <c r="D21" s="79"/>
      <c r="F21" s="79">
        <f t="shared" si="0"/>
        <v>313.89</v>
      </c>
      <c r="G21" s="79">
        <f t="shared" si="1"/>
        <v>936.60500000000002</v>
      </c>
      <c r="H21" s="79">
        <f t="shared" si="3"/>
        <v>536.25615384615389</v>
      </c>
      <c r="I21" s="80"/>
      <c r="M21" s="79">
        <f t="shared" si="2"/>
        <v>7131.56</v>
      </c>
    </row>
    <row r="22" spans="1:13" x14ac:dyDescent="0.2">
      <c r="A22" s="83">
        <v>39761</v>
      </c>
      <c r="B22" s="84">
        <v>290.83999999999997</v>
      </c>
      <c r="C22" s="79">
        <v>308.39999999999998</v>
      </c>
      <c r="D22" s="79"/>
      <c r="F22" s="79">
        <f t="shared" si="0"/>
        <v>599.24</v>
      </c>
      <c r="G22" s="79">
        <f t="shared" si="1"/>
        <v>666.56</v>
      </c>
      <c r="H22" s="79">
        <f t="shared" si="3"/>
        <v>575.84307692307698</v>
      </c>
      <c r="I22" s="80"/>
      <c r="M22" s="79">
        <f t="shared" si="2"/>
        <v>7730.8</v>
      </c>
    </row>
    <row r="23" spans="1:13" x14ac:dyDescent="0.2">
      <c r="A23" s="83">
        <v>39768</v>
      </c>
      <c r="B23" s="84">
        <v>532.52</v>
      </c>
      <c r="C23" s="79">
        <v>0</v>
      </c>
      <c r="D23" s="79"/>
      <c r="F23" s="79">
        <f t="shared" si="0"/>
        <v>532.52</v>
      </c>
      <c r="G23" s="79">
        <f t="shared" si="1"/>
        <v>621.42750000000001</v>
      </c>
      <c r="H23" s="79">
        <f t="shared" si="3"/>
        <v>583.74</v>
      </c>
      <c r="I23" s="80"/>
      <c r="M23" s="79">
        <f t="shared" si="2"/>
        <v>8263.32</v>
      </c>
    </row>
    <row r="24" spans="1:13" x14ac:dyDescent="0.2">
      <c r="A24" s="83">
        <v>39775</v>
      </c>
      <c r="B24" s="84">
        <v>264.23</v>
      </c>
      <c r="C24" s="79">
        <v>259.69</v>
      </c>
      <c r="D24" s="79"/>
      <c r="F24" s="79">
        <f t="shared" si="0"/>
        <v>523.92000000000007</v>
      </c>
      <c r="G24" s="79">
        <f t="shared" si="1"/>
        <v>492.39250000000004</v>
      </c>
      <c r="H24" s="79">
        <f t="shared" si="3"/>
        <v>622.3761538461539</v>
      </c>
      <c r="I24" s="80"/>
      <c r="M24" s="79">
        <f t="shared" si="2"/>
        <v>8787.24</v>
      </c>
    </row>
    <row r="25" spans="1:13" x14ac:dyDescent="0.2">
      <c r="A25" s="83">
        <v>39782</v>
      </c>
      <c r="B25" s="84">
        <v>684.59</v>
      </c>
      <c r="C25" s="79">
        <v>0</v>
      </c>
      <c r="D25" s="79"/>
      <c r="F25" s="79">
        <f t="shared" si="0"/>
        <v>684.59</v>
      </c>
      <c r="G25" s="79">
        <f t="shared" si="1"/>
        <v>585.0675</v>
      </c>
      <c r="H25" s="79">
        <f t="shared" si="3"/>
        <v>668.68846153846164</v>
      </c>
      <c r="I25" s="80"/>
      <c r="M25" s="79">
        <f t="shared" si="2"/>
        <v>9471.83</v>
      </c>
    </row>
    <row r="26" spans="1:13" x14ac:dyDescent="0.2">
      <c r="A26" s="83">
        <v>39789</v>
      </c>
      <c r="B26" s="84">
        <v>264.08</v>
      </c>
      <c r="C26" s="79">
        <v>223.81</v>
      </c>
      <c r="D26" s="79"/>
      <c r="F26" s="79">
        <f t="shared" si="0"/>
        <v>487.89</v>
      </c>
      <c r="G26" s="79">
        <f t="shared" si="1"/>
        <v>557.23</v>
      </c>
      <c r="H26" s="79">
        <f t="shared" si="3"/>
        <v>659.97923076923075</v>
      </c>
      <c r="I26" s="80"/>
      <c r="M26" s="79">
        <f t="shared" si="2"/>
        <v>9959.7199999999993</v>
      </c>
    </row>
    <row r="27" spans="1:13" x14ac:dyDescent="0.2">
      <c r="A27" s="83">
        <v>39796</v>
      </c>
      <c r="B27" s="84">
        <v>909.06</v>
      </c>
      <c r="C27" s="79">
        <v>0</v>
      </c>
      <c r="D27" s="79"/>
      <c r="F27" s="79">
        <f t="shared" si="0"/>
        <v>909.06</v>
      </c>
      <c r="G27" s="79">
        <f t="shared" si="1"/>
        <v>651.36500000000001</v>
      </c>
      <c r="H27" s="79">
        <f t="shared" si="3"/>
        <v>697.52923076923082</v>
      </c>
      <c r="I27" s="80"/>
      <c r="M27" s="79">
        <f t="shared" si="2"/>
        <v>10868.779999999999</v>
      </c>
    </row>
    <row r="28" spans="1:13" x14ac:dyDescent="0.2">
      <c r="A28" s="83">
        <v>39803</v>
      </c>
      <c r="B28" s="84">
        <v>935.18</v>
      </c>
      <c r="C28" s="79">
        <v>20.57</v>
      </c>
      <c r="D28" s="79"/>
      <c r="F28" s="79">
        <f t="shared" si="0"/>
        <v>955.75</v>
      </c>
      <c r="G28" s="79">
        <f t="shared" si="1"/>
        <v>759.32249999999999</v>
      </c>
      <c r="H28" s="79">
        <f t="shared" si="3"/>
        <v>759.22384615384613</v>
      </c>
      <c r="I28" s="80"/>
      <c r="M28" s="79">
        <f t="shared" si="2"/>
        <v>11824.529999999999</v>
      </c>
    </row>
    <row r="29" spans="1:13" x14ac:dyDescent="0.2">
      <c r="A29" s="83">
        <v>39810</v>
      </c>
      <c r="B29" s="84">
        <v>892.2</v>
      </c>
      <c r="C29" s="79">
        <v>0</v>
      </c>
      <c r="D29" s="79"/>
      <c r="F29" s="79">
        <f t="shared" si="0"/>
        <v>892.2</v>
      </c>
      <c r="G29" s="79">
        <f t="shared" si="1"/>
        <v>811.22499999999991</v>
      </c>
      <c r="H29" s="79">
        <f t="shared" si="3"/>
        <v>750.03153846153862</v>
      </c>
      <c r="I29" s="80"/>
      <c r="M29" s="79">
        <f t="shared" si="2"/>
        <v>12716.73</v>
      </c>
    </row>
    <row r="30" spans="1:13" x14ac:dyDescent="0.2">
      <c r="A30" s="83">
        <v>39817</v>
      </c>
      <c r="B30" s="84">
        <v>608.30999999999995</v>
      </c>
      <c r="C30" s="79">
        <v>45.36</v>
      </c>
      <c r="D30" s="79"/>
      <c r="F30" s="79">
        <f t="shared" si="0"/>
        <v>653.66999999999996</v>
      </c>
      <c r="G30" s="79">
        <f t="shared" si="1"/>
        <v>852.67000000000007</v>
      </c>
      <c r="H30" s="79">
        <f t="shared" si="3"/>
        <v>768.09692307692319</v>
      </c>
      <c r="I30" s="80"/>
      <c r="M30" s="79">
        <f t="shared" si="2"/>
        <v>13370.4</v>
      </c>
    </row>
    <row r="31" spans="1:13" x14ac:dyDescent="0.2">
      <c r="A31" s="83">
        <v>39824</v>
      </c>
      <c r="B31" s="84">
        <v>1742.01</v>
      </c>
      <c r="C31" s="79">
        <v>0</v>
      </c>
      <c r="D31" s="79"/>
      <c r="F31" s="79">
        <f t="shared" si="0"/>
        <v>1742.01</v>
      </c>
      <c r="G31" s="79">
        <f t="shared" si="1"/>
        <v>1060.9075</v>
      </c>
      <c r="H31" s="79">
        <f t="shared" si="3"/>
        <v>772.91153846153838</v>
      </c>
      <c r="I31" s="79">
        <f>AVERAGE($F$31:F31)</f>
        <v>1742.01</v>
      </c>
      <c r="J31" s="84">
        <f t="shared" ref="J31:J94" si="4">+I31*52</f>
        <v>90584.52</v>
      </c>
      <c r="L31" s="85">
        <f t="shared" ref="L31:L94" si="5">+I31/6</f>
        <v>290.33499999999998</v>
      </c>
      <c r="M31" s="79">
        <f t="shared" si="2"/>
        <v>15112.41</v>
      </c>
    </row>
    <row r="32" spans="1:13" x14ac:dyDescent="0.2">
      <c r="A32" s="83">
        <v>39831</v>
      </c>
      <c r="B32" s="84">
        <v>1343.05</v>
      </c>
      <c r="C32" s="79">
        <v>5</v>
      </c>
      <c r="D32" s="79"/>
      <c r="F32" s="79">
        <f t="shared" si="0"/>
        <v>1348.05</v>
      </c>
      <c r="G32" s="79">
        <f t="shared" si="1"/>
        <v>1158.9825000000001</v>
      </c>
      <c r="H32" s="79">
        <f t="shared" si="3"/>
        <v>821.7576923076922</v>
      </c>
      <c r="I32" s="79">
        <f>AVERAGE($F$31:F32)</f>
        <v>1545.03</v>
      </c>
      <c r="J32" s="84">
        <f t="shared" si="4"/>
        <v>80341.56</v>
      </c>
      <c r="L32" s="85">
        <f t="shared" si="5"/>
        <v>257.505</v>
      </c>
      <c r="M32" s="79">
        <f t="shared" si="2"/>
        <v>16460.46</v>
      </c>
    </row>
    <row r="33" spans="1:13" x14ac:dyDescent="0.2">
      <c r="A33" s="83">
        <v>39838</v>
      </c>
      <c r="B33" s="84">
        <v>3165.85</v>
      </c>
      <c r="C33" s="79">
        <v>0</v>
      </c>
      <c r="D33" s="79"/>
      <c r="F33" s="79">
        <f t="shared" si="0"/>
        <v>3165.85</v>
      </c>
      <c r="G33" s="79">
        <f t="shared" si="1"/>
        <v>1727.395</v>
      </c>
      <c r="H33" s="79">
        <f t="shared" si="3"/>
        <v>985.28</v>
      </c>
      <c r="I33" s="79">
        <f>AVERAGE($F$31:F33)</f>
        <v>2085.3033333333333</v>
      </c>
      <c r="J33" s="84">
        <f t="shared" si="4"/>
        <v>108435.77333333333</v>
      </c>
      <c r="L33" s="85">
        <f t="shared" si="5"/>
        <v>347.55055555555555</v>
      </c>
      <c r="M33" s="79">
        <f t="shared" si="2"/>
        <v>19626.309999999998</v>
      </c>
    </row>
    <row r="34" spans="1:13" x14ac:dyDescent="0.2">
      <c r="A34" s="83">
        <v>39845</v>
      </c>
      <c r="B34" s="84">
        <v>2317.92</v>
      </c>
      <c r="C34" s="79">
        <v>152.52000000000001</v>
      </c>
      <c r="D34" s="79"/>
      <c r="F34" s="79">
        <f t="shared" si="0"/>
        <v>2470.44</v>
      </c>
      <c r="G34" s="79">
        <f t="shared" si="1"/>
        <v>2181.5875000000001</v>
      </c>
      <c r="H34" s="79">
        <f t="shared" si="3"/>
        <v>1151.1684615384615</v>
      </c>
      <c r="I34" s="79">
        <f>AVERAGE($F$31:F34)</f>
        <v>2181.5875000000001</v>
      </c>
      <c r="J34" s="84">
        <f t="shared" si="4"/>
        <v>113442.55</v>
      </c>
      <c r="L34" s="85">
        <f t="shared" si="5"/>
        <v>363.59791666666666</v>
      </c>
      <c r="M34" s="79">
        <f t="shared" si="2"/>
        <v>22096.749999999996</v>
      </c>
    </row>
    <row r="35" spans="1:13" x14ac:dyDescent="0.2">
      <c r="A35" s="83">
        <v>39852</v>
      </c>
      <c r="B35" s="84">
        <v>1545.18</v>
      </c>
      <c r="C35" s="79">
        <v>557.11</v>
      </c>
      <c r="D35" s="79"/>
      <c r="F35" s="79">
        <f t="shared" si="0"/>
        <v>2102.29</v>
      </c>
      <c r="G35" s="79">
        <f t="shared" si="1"/>
        <v>2271.6575000000003</v>
      </c>
      <c r="H35" s="79">
        <f t="shared" si="3"/>
        <v>1266.7876923076924</v>
      </c>
      <c r="I35" s="79">
        <f>AVERAGE($F$31:F35)</f>
        <v>2165.7280000000001</v>
      </c>
      <c r="J35" s="84">
        <f t="shared" si="4"/>
        <v>112617.856</v>
      </c>
      <c r="L35" s="85">
        <f t="shared" si="5"/>
        <v>360.9546666666667</v>
      </c>
      <c r="M35" s="79">
        <f t="shared" si="2"/>
        <v>24199.039999999997</v>
      </c>
    </row>
    <row r="36" spans="1:13" x14ac:dyDescent="0.2">
      <c r="A36" s="83">
        <v>39859</v>
      </c>
      <c r="B36" s="84">
        <v>4385.84</v>
      </c>
      <c r="C36" s="79">
        <v>0</v>
      </c>
      <c r="D36" s="79"/>
      <c r="F36" s="79">
        <f t="shared" si="0"/>
        <v>4385.84</v>
      </c>
      <c r="G36" s="79">
        <f t="shared" si="1"/>
        <v>3031.105</v>
      </c>
      <c r="H36" s="79">
        <f t="shared" si="3"/>
        <v>1563.1969230769232</v>
      </c>
      <c r="I36" s="79">
        <f>AVERAGE($F$31:F36)</f>
        <v>2535.7466666666664</v>
      </c>
      <c r="J36" s="84">
        <f t="shared" si="4"/>
        <v>131858.82666666666</v>
      </c>
      <c r="L36" s="85">
        <f t="shared" si="5"/>
        <v>422.62444444444441</v>
      </c>
      <c r="M36" s="79">
        <f t="shared" si="2"/>
        <v>28584.879999999997</v>
      </c>
    </row>
    <row r="37" spans="1:13" x14ac:dyDescent="0.2">
      <c r="A37" s="83">
        <v>39866</v>
      </c>
      <c r="B37" s="84">
        <v>3144.27</v>
      </c>
      <c r="C37" s="79">
        <v>32.42</v>
      </c>
      <c r="D37" s="79"/>
      <c r="F37" s="79">
        <f t="shared" si="0"/>
        <v>3176.69</v>
      </c>
      <c r="G37" s="79">
        <f t="shared" si="1"/>
        <v>3033.8150000000001</v>
      </c>
      <c r="H37" s="79">
        <f t="shared" si="3"/>
        <v>1767.2561538461537</v>
      </c>
      <c r="I37" s="79">
        <f>AVERAGE($F$31:F37)</f>
        <v>2627.31</v>
      </c>
      <c r="J37" s="84">
        <f t="shared" si="4"/>
        <v>136620.12</v>
      </c>
      <c r="L37" s="85">
        <f t="shared" si="5"/>
        <v>437.88499999999999</v>
      </c>
      <c r="M37" s="79">
        <f t="shared" si="2"/>
        <v>31761.569999999996</v>
      </c>
    </row>
    <row r="38" spans="1:13" x14ac:dyDescent="0.2">
      <c r="A38" s="83">
        <v>39873</v>
      </c>
      <c r="B38" s="84">
        <v>3055.08</v>
      </c>
      <c r="C38" s="79">
        <v>0</v>
      </c>
      <c r="D38" s="79"/>
      <c r="F38" s="79">
        <f t="shared" si="0"/>
        <v>3055.08</v>
      </c>
      <c r="G38" s="79">
        <f t="shared" si="1"/>
        <v>3179.9749999999999</v>
      </c>
      <c r="H38" s="79">
        <f t="shared" si="3"/>
        <v>1949.6015384615384</v>
      </c>
      <c r="I38" s="79">
        <f>AVERAGE($F$31:F38)</f>
        <v>2680.78125</v>
      </c>
      <c r="J38" s="84">
        <f t="shared" si="4"/>
        <v>139400.625</v>
      </c>
      <c r="L38" s="85">
        <f t="shared" si="5"/>
        <v>446.796875</v>
      </c>
      <c r="M38" s="79">
        <f t="shared" si="2"/>
        <v>34816.649999999994</v>
      </c>
    </row>
    <row r="39" spans="1:13" x14ac:dyDescent="0.2">
      <c r="A39" s="83">
        <v>39880</v>
      </c>
      <c r="B39" s="84">
        <v>2892.36</v>
      </c>
      <c r="C39" s="79">
        <v>15</v>
      </c>
      <c r="D39" s="79"/>
      <c r="F39" s="79">
        <f t="shared" si="0"/>
        <v>2907.36</v>
      </c>
      <c r="G39" s="79">
        <f t="shared" si="1"/>
        <v>3381.2425000000003</v>
      </c>
      <c r="H39" s="79">
        <f t="shared" si="3"/>
        <v>2135.7146153846156</v>
      </c>
      <c r="I39" s="79">
        <f>AVERAGE($F$31:F39)</f>
        <v>2705.9566666666669</v>
      </c>
      <c r="J39" s="84">
        <f t="shared" si="4"/>
        <v>140709.74666666667</v>
      </c>
      <c r="L39" s="85">
        <f t="shared" si="5"/>
        <v>450.9927777777778</v>
      </c>
      <c r="M39" s="79">
        <f>+M38+F39</f>
        <v>37724.009999999995</v>
      </c>
    </row>
    <row r="40" spans="1:13" x14ac:dyDescent="0.2">
      <c r="A40" s="83">
        <v>39887</v>
      </c>
      <c r="B40" s="84">
        <v>1992.5</v>
      </c>
      <c r="C40" s="79">
        <v>178.74</v>
      </c>
      <c r="D40" s="79"/>
      <c r="F40" s="79">
        <f t="shared" si="0"/>
        <v>2171.2399999999998</v>
      </c>
      <c r="G40" s="79">
        <f t="shared" si="1"/>
        <v>2827.5925000000002</v>
      </c>
      <c r="H40" s="79">
        <f t="shared" si="3"/>
        <v>2232.8053846153848</v>
      </c>
      <c r="I40" s="79">
        <f>AVERAGE($F$31:F40)</f>
        <v>2652.4849999999997</v>
      </c>
      <c r="J40" s="84">
        <f t="shared" si="4"/>
        <v>137929.21999999997</v>
      </c>
      <c r="L40" s="85">
        <f t="shared" si="5"/>
        <v>442.08083333333326</v>
      </c>
      <c r="M40" s="79">
        <f>+M39+F40</f>
        <v>39895.249999999993</v>
      </c>
    </row>
    <row r="41" spans="1:13" x14ac:dyDescent="0.2">
      <c r="A41" s="83">
        <v>39894</v>
      </c>
      <c r="B41" s="84">
        <v>1712.91</v>
      </c>
      <c r="C41" s="79">
        <v>530.77</v>
      </c>
      <c r="D41" s="79"/>
      <c r="F41" s="79">
        <f t="shared" si="0"/>
        <v>2243.6800000000003</v>
      </c>
      <c r="G41" s="79">
        <f t="shared" si="1"/>
        <v>2594.34</v>
      </c>
      <c r="H41" s="79">
        <f t="shared" si="3"/>
        <v>2331.876923076923</v>
      </c>
      <c r="I41" s="79">
        <f>AVERAGE($F$31:F41)</f>
        <v>2615.320909090909</v>
      </c>
      <c r="J41" s="84">
        <f t="shared" si="4"/>
        <v>135996.68727272726</v>
      </c>
      <c r="L41" s="85">
        <f t="shared" si="5"/>
        <v>435.88681818181817</v>
      </c>
      <c r="M41" s="79">
        <f>+M40+F41</f>
        <v>42138.929999999993</v>
      </c>
    </row>
    <row r="42" spans="1:13" x14ac:dyDescent="0.2">
      <c r="A42" s="83">
        <v>39901</v>
      </c>
      <c r="B42" s="84">
        <v>1836.41</v>
      </c>
      <c r="C42" s="79">
        <v>138.56</v>
      </c>
      <c r="D42" s="79">
        <v>404.83</v>
      </c>
      <c r="F42" s="79">
        <f t="shared" si="0"/>
        <v>2379.8000000000002</v>
      </c>
      <c r="G42" s="79">
        <f t="shared" si="1"/>
        <v>2425.5200000000004</v>
      </c>
      <c r="H42" s="79">
        <f t="shared" si="3"/>
        <v>2446.3076923076919</v>
      </c>
      <c r="I42" s="79">
        <f>AVERAGE($F$31:F42)</f>
        <v>2595.6941666666667</v>
      </c>
      <c r="J42" s="84">
        <f t="shared" si="4"/>
        <v>134976.09666666668</v>
      </c>
      <c r="L42" s="85">
        <f t="shared" si="5"/>
        <v>432.61569444444444</v>
      </c>
      <c r="M42" s="79">
        <f t="shared" ref="M42:M69" si="6">+M41+F42</f>
        <v>44518.729999999996</v>
      </c>
    </row>
    <row r="43" spans="1:13" x14ac:dyDescent="0.2">
      <c r="A43" s="83">
        <v>39908</v>
      </c>
      <c r="B43" s="84">
        <v>1899.11</v>
      </c>
      <c r="C43" s="79">
        <v>735.05</v>
      </c>
      <c r="D43" s="79">
        <v>676.83</v>
      </c>
      <c r="F43" s="79">
        <f t="shared" si="0"/>
        <v>3310.99</v>
      </c>
      <c r="G43" s="79">
        <f t="shared" si="1"/>
        <v>2526.4274999999998</v>
      </c>
      <c r="H43" s="79">
        <f t="shared" si="3"/>
        <v>2650.7169230769232</v>
      </c>
      <c r="I43" s="79">
        <f>AVERAGE($F$31:F43)</f>
        <v>2650.7169230769232</v>
      </c>
      <c r="J43" s="84">
        <f t="shared" si="4"/>
        <v>137837.28</v>
      </c>
      <c r="L43" s="85">
        <f t="shared" si="5"/>
        <v>441.78615384615387</v>
      </c>
      <c r="M43" s="79">
        <f t="shared" si="6"/>
        <v>47829.719999999994</v>
      </c>
    </row>
    <row r="44" spans="1:13" x14ac:dyDescent="0.2">
      <c r="A44" s="83">
        <v>39915</v>
      </c>
      <c r="B44" s="84">
        <v>1453.6</v>
      </c>
      <c r="C44" s="79">
        <v>129.37</v>
      </c>
      <c r="D44" s="79">
        <v>592.1</v>
      </c>
      <c r="F44" s="79">
        <f t="shared" si="0"/>
        <v>2175.0699999999997</v>
      </c>
      <c r="G44" s="79">
        <f t="shared" si="1"/>
        <v>2527.3850000000002</v>
      </c>
      <c r="H44" s="79">
        <f t="shared" si="3"/>
        <v>2684.0292307692307</v>
      </c>
      <c r="I44" s="79">
        <f>AVERAGE($F$31:F44)</f>
        <v>2616.7421428571429</v>
      </c>
      <c r="J44" s="84">
        <f t="shared" si="4"/>
        <v>136070.59142857144</v>
      </c>
      <c r="L44" s="85">
        <f t="shared" si="5"/>
        <v>436.12369047619046</v>
      </c>
      <c r="M44" s="79">
        <f t="shared" si="6"/>
        <v>50004.789999999994</v>
      </c>
    </row>
    <row r="45" spans="1:13" x14ac:dyDescent="0.2">
      <c r="A45" s="83">
        <v>39922</v>
      </c>
      <c r="B45" s="84">
        <v>1343.49</v>
      </c>
      <c r="C45" s="79">
        <v>20</v>
      </c>
      <c r="D45" s="79">
        <v>3265.93</v>
      </c>
      <c r="F45" s="79">
        <f t="shared" si="0"/>
        <v>4629.42</v>
      </c>
      <c r="G45" s="79">
        <f t="shared" si="1"/>
        <v>3123.8199999999997</v>
      </c>
      <c r="H45" s="79">
        <f t="shared" si="3"/>
        <v>2936.4423076923076</v>
      </c>
      <c r="I45" s="79">
        <f>AVERAGE($F$31:F45)</f>
        <v>2750.9206666666664</v>
      </c>
      <c r="J45" s="84">
        <f t="shared" si="4"/>
        <v>143047.87466666664</v>
      </c>
      <c r="L45" s="85">
        <f t="shared" si="5"/>
        <v>458.48677777777772</v>
      </c>
      <c r="M45" s="79">
        <f t="shared" si="6"/>
        <v>54634.209999999992</v>
      </c>
    </row>
    <row r="46" spans="1:13" x14ac:dyDescent="0.2">
      <c r="A46" s="83">
        <v>39929</v>
      </c>
      <c r="B46" s="84">
        <v>1193.51</v>
      </c>
      <c r="C46" s="79">
        <v>588.61</v>
      </c>
      <c r="D46" s="79">
        <v>1411.76</v>
      </c>
      <c r="F46" s="79">
        <f t="shared" si="0"/>
        <v>3193.88</v>
      </c>
      <c r="G46" s="79">
        <f t="shared" si="1"/>
        <v>3327.34</v>
      </c>
      <c r="H46" s="79">
        <f t="shared" si="3"/>
        <v>2938.5984615384614</v>
      </c>
      <c r="I46" s="79">
        <f>AVERAGE($F$31:F46)</f>
        <v>2778.6056249999997</v>
      </c>
      <c r="J46" s="84">
        <f t="shared" si="4"/>
        <v>144487.49249999999</v>
      </c>
      <c r="L46" s="85">
        <f t="shared" si="5"/>
        <v>463.10093749999993</v>
      </c>
      <c r="M46" s="79">
        <f t="shared" si="6"/>
        <v>57828.089999999989</v>
      </c>
    </row>
    <row r="47" spans="1:13" x14ac:dyDescent="0.2">
      <c r="A47" s="83">
        <v>39936</v>
      </c>
      <c r="B47" s="84">
        <v>47.56</v>
      </c>
      <c r="C47" s="79">
        <v>0</v>
      </c>
      <c r="D47" s="79">
        <v>2488.2800000000002</v>
      </c>
      <c r="F47" s="79">
        <f t="shared" si="0"/>
        <v>2535.84</v>
      </c>
      <c r="G47" s="79">
        <f t="shared" si="1"/>
        <v>3133.5524999999998</v>
      </c>
      <c r="H47" s="79">
        <f t="shared" si="3"/>
        <v>2943.6292307692302</v>
      </c>
      <c r="I47" s="79">
        <f>AVERAGE($F$31:F47)</f>
        <v>2764.325294117647</v>
      </c>
      <c r="J47" s="84">
        <f t="shared" si="4"/>
        <v>143744.91529411764</v>
      </c>
      <c r="L47" s="85">
        <f t="shared" si="5"/>
        <v>460.72088235294115</v>
      </c>
      <c r="M47" s="79">
        <f t="shared" si="6"/>
        <v>60363.929999999993</v>
      </c>
    </row>
    <row r="48" spans="1:13" x14ac:dyDescent="0.2">
      <c r="A48" s="83">
        <v>39943</v>
      </c>
      <c r="B48" s="84">
        <v>0</v>
      </c>
      <c r="C48" s="79">
        <v>0</v>
      </c>
      <c r="D48" s="79">
        <v>3529.8769249999996</v>
      </c>
      <c r="F48" s="79">
        <f t="shared" si="0"/>
        <v>3529.8769249999996</v>
      </c>
      <c r="G48" s="79">
        <f t="shared" si="1"/>
        <v>3472.25423125</v>
      </c>
      <c r="H48" s="79">
        <f t="shared" si="3"/>
        <v>3053.4436096153845</v>
      </c>
      <c r="I48" s="79">
        <f>AVERAGE($F$31:F48)</f>
        <v>2806.8559402777773</v>
      </c>
      <c r="J48" s="84">
        <f t="shared" si="4"/>
        <v>145956.50889444441</v>
      </c>
      <c r="L48" s="85">
        <f t="shared" si="5"/>
        <v>467.80932337962957</v>
      </c>
      <c r="M48" s="79">
        <f t="shared" si="6"/>
        <v>63893.80692499999</v>
      </c>
    </row>
    <row r="49" spans="1:17" x14ac:dyDescent="0.2">
      <c r="A49" s="83">
        <v>39950</v>
      </c>
      <c r="B49" s="84">
        <v>0</v>
      </c>
      <c r="C49" s="79">
        <v>166.9</v>
      </c>
      <c r="D49" s="79">
        <v>4666.0338750000001</v>
      </c>
      <c r="F49" s="79">
        <f t="shared" si="0"/>
        <v>4832.9338749999997</v>
      </c>
      <c r="G49" s="79">
        <f t="shared" si="1"/>
        <v>3523.1327000000001</v>
      </c>
      <c r="H49" s="79">
        <f t="shared" si="3"/>
        <v>3087.8354461538465</v>
      </c>
      <c r="I49" s="79">
        <f>AVERAGE($F$31:F49)</f>
        <v>2913.4916210526317</v>
      </c>
      <c r="J49" s="84">
        <f t="shared" si="4"/>
        <v>151501.56429473683</v>
      </c>
      <c r="L49" s="85">
        <f t="shared" si="5"/>
        <v>485.58193684210528</v>
      </c>
      <c r="M49" s="79">
        <f t="shared" si="6"/>
        <v>68726.740799999985</v>
      </c>
    </row>
    <row r="50" spans="1:17" x14ac:dyDescent="0.2">
      <c r="A50" s="83">
        <v>39957</v>
      </c>
      <c r="B50" s="84">
        <v>0</v>
      </c>
      <c r="C50" s="79">
        <v>0</v>
      </c>
      <c r="D50" s="79">
        <v>1974.7984999999996</v>
      </c>
      <c r="F50" s="79">
        <f t="shared" si="0"/>
        <v>1974.7984999999996</v>
      </c>
      <c r="G50" s="79">
        <f t="shared" si="1"/>
        <v>3218.3623249999996</v>
      </c>
      <c r="H50" s="79">
        <f t="shared" si="3"/>
        <v>2995.3822538461536</v>
      </c>
      <c r="I50" s="79">
        <f>AVERAGE($F$31:F50)</f>
        <v>2866.5569649999998</v>
      </c>
      <c r="J50" s="84">
        <f t="shared" si="4"/>
        <v>149060.96217999997</v>
      </c>
      <c r="L50" s="85">
        <f t="shared" si="5"/>
        <v>477.75949416666663</v>
      </c>
      <c r="M50" s="79">
        <f t="shared" si="6"/>
        <v>70701.539299999989</v>
      </c>
    </row>
    <row r="51" spans="1:17" x14ac:dyDescent="0.2">
      <c r="A51" s="83">
        <v>39964</v>
      </c>
      <c r="B51" s="84">
        <v>0</v>
      </c>
      <c r="C51" s="79">
        <v>0</v>
      </c>
      <c r="D51" s="79">
        <v>2257.84</v>
      </c>
      <c r="F51" s="79">
        <f t="shared" si="0"/>
        <v>2257.84</v>
      </c>
      <c r="G51" s="79">
        <f t="shared" si="1"/>
        <v>3148.8623249999996</v>
      </c>
      <c r="H51" s="79">
        <f t="shared" si="3"/>
        <v>2934.0561000000007</v>
      </c>
      <c r="I51" s="79">
        <f>AVERAGE($F$31:F51)</f>
        <v>2837.5704428571426</v>
      </c>
      <c r="J51" s="84">
        <f t="shared" si="4"/>
        <v>147553.66302857141</v>
      </c>
      <c r="L51" s="85">
        <f t="shared" si="5"/>
        <v>472.92840714285711</v>
      </c>
      <c r="M51" s="79">
        <f t="shared" si="6"/>
        <v>72959.379299999986</v>
      </c>
    </row>
    <row r="52" spans="1:17" x14ac:dyDescent="0.2">
      <c r="A52" s="83">
        <v>39971</v>
      </c>
      <c r="B52" s="84">
        <v>0</v>
      </c>
      <c r="C52" s="79">
        <v>0</v>
      </c>
      <c r="D52" s="79">
        <v>2577</v>
      </c>
      <c r="F52" s="79">
        <f t="shared" si="0"/>
        <v>2577</v>
      </c>
      <c r="G52" s="79">
        <f t="shared" si="1"/>
        <v>2910.6430937499999</v>
      </c>
      <c r="H52" s="79">
        <f t="shared" si="3"/>
        <v>2908.6437923076915</v>
      </c>
      <c r="I52" s="79">
        <f>AVERAGE($F$31:F52)</f>
        <v>2825.7263318181813</v>
      </c>
      <c r="J52" s="84">
        <f t="shared" si="4"/>
        <v>146937.76925454542</v>
      </c>
      <c r="L52" s="85">
        <f t="shared" si="5"/>
        <v>470.95438863636355</v>
      </c>
      <c r="M52" s="79">
        <f t="shared" si="6"/>
        <v>75536.379299999986</v>
      </c>
    </row>
    <row r="53" spans="1:17" x14ac:dyDescent="0.2">
      <c r="A53" s="83">
        <v>39978</v>
      </c>
      <c r="B53" s="84">
        <v>0</v>
      </c>
      <c r="C53" s="79">
        <v>0</v>
      </c>
      <c r="D53" s="79">
        <v>2731.97</v>
      </c>
      <c r="F53" s="79">
        <f t="shared" si="0"/>
        <v>2731.97</v>
      </c>
      <c r="G53" s="79">
        <f t="shared" si="1"/>
        <v>2385.4021250000001</v>
      </c>
      <c r="H53" s="79">
        <f t="shared" si="3"/>
        <v>2951.7768692307695</v>
      </c>
      <c r="I53" s="79">
        <f>AVERAGE($F$31:F53)</f>
        <v>2821.6499695652169</v>
      </c>
      <c r="J53" s="84">
        <f t="shared" si="4"/>
        <v>146725.79841739128</v>
      </c>
      <c r="L53" s="85">
        <f t="shared" si="5"/>
        <v>470.27499492753617</v>
      </c>
      <c r="M53" s="79">
        <f t="shared" si="6"/>
        <v>78268.349299999987</v>
      </c>
    </row>
    <row r="54" spans="1:17" x14ac:dyDescent="0.2">
      <c r="A54" s="83">
        <v>39985</v>
      </c>
      <c r="B54" s="79">
        <v>0</v>
      </c>
      <c r="C54" s="79">
        <v>0</v>
      </c>
      <c r="D54" s="79">
        <v>2438.79</v>
      </c>
      <c r="F54" s="79">
        <f t="shared" si="0"/>
        <v>2438.79</v>
      </c>
      <c r="G54" s="79">
        <f t="shared" si="1"/>
        <v>2501.3999999999996</v>
      </c>
      <c r="H54" s="79">
        <f t="shared" si="3"/>
        <v>2966.7853307692308</v>
      </c>
      <c r="I54" s="79">
        <f>AVERAGE($F$31:F54)</f>
        <v>2805.6974708333328</v>
      </c>
      <c r="J54" s="84">
        <f t="shared" si="4"/>
        <v>145896.26848333329</v>
      </c>
      <c r="K54" s="79"/>
      <c r="L54" s="85">
        <f t="shared" si="5"/>
        <v>467.61624513888881</v>
      </c>
      <c r="M54" s="79">
        <f t="shared" si="6"/>
        <v>80707.139299999981</v>
      </c>
    </row>
    <row r="55" spans="1:17" x14ac:dyDescent="0.2">
      <c r="A55" s="83">
        <v>39992</v>
      </c>
      <c r="B55" s="79">
        <v>0</v>
      </c>
      <c r="C55" s="79">
        <v>0</v>
      </c>
      <c r="D55" s="86">
        <v>2485.88</v>
      </c>
      <c r="F55" s="79">
        <f t="shared" si="0"/>
        <v>2485.88</v>
      </c>
      <c r="G55" s="79">
        <f t="shared" si="1"/>
        <v>2558.41</v>
      </c>
      <c r="H55" s="79">
        <f t="shared" si="3"/>
        <v>2974.9453307692306</v>
      </c>
      <c r="I55" s="79">
        <f>AVERAGE($F$31:F55)</f>
        <v>2792.9047719999999</v>
      </c>
      <c r="J55" s="84">
        <f t="shared" si="4"/>
        <v>145231.048144</v>
      </c>
      <c r="K55" s="79">
        <f t="shared" ref="K55:K118" si="7">SUM(F4:F55)</f>
        <v>83193.019299999985</v>
      </c>
      <c r="L55" s="85">
        <f t="shared" si="5"/>
        <v>465.48412866666666</v>
      </c>
      <c r="M55" s="79">
        <f t="shared" si="6"/>
        <v>83193.019299999985</v>
      </c>
    </row>
    <row r="56" spans="1:17" x14ac:dyDescent="0.2">
      <c r="A56" s="83">
        <v>39999</v>
      </c>
      <c r="B56" s="79">
        <v>0</v>
      </c>
      <c r="C56" s="79">
        <v>0</v>
      </c>
      <c r="D56" s="79">
        <v>1605.28</v>
      </c>
      <c r="F56" s="79">
        <f t="shared" si="0"/>
        <v>1605.28</v>
      </c>
      <c r="G56" s="79">
        <f t="shared" si="1"/>
        <v>2315.48</v>
      </c>
      <c r="H56" s="79">
        <f t="shared" si="3"/>
        <v>2843.7368692307691</v>
      </c>
      <c r="I56" s="79">
        <f>AVERAGE($F$31:F56)</f>
        <v>2747.2268961538457</v>
      </c>
      <c r="J56" s="84">
        <f t="shared" si="4"/>
        <v>142855.79859999998</v>
      </c>
      <c r="K56" s="79">
        <f t="shared" si="7"/>
        <v>84798.299299999984</v>
      </c>
      <c r="L56" s="85">
        <f t="shared" si="5"/>
        <v>457.87114935897426</v>
      </c>
      <c r="M56" s="79">
        <f t="shared" si="6"/>
        <v>84798.299299999984</v>
      </c>
    </row>
    <row r="57" spans="1:17" x14ac:dyDescent="0.2">
      <c r="A57" s="83">
        <v>40006</v>
      </c>
      <c r="B57" s="79">
        <v>0</v>
      </c>
      <c r="C57" s="79">
        <v>0</v>
      </c>
      <c r="D57" s="79">
        <v>2252</v>
      </c>
      <c r="F57" s="79">
        <f t="shared" si="0"/>
        <v>2252</v>
      </c>
      <c r="G57" s="79">
        <f t="shared" si="1"/>
        <v>2195.4875000000002</v>
      </c>
      <c r="H57" s="79">
        <f t="shared" si="3"/>
        <v>2849.6545615384612</v>
      </c>
      <c r="I57" s="79">
        <f>AVERAGE($F$31:F57)</f>
        <v>2728.8851592592587</v>
      </c>
      <c r="J57" s="84">
        <f t="shared" si="4"/>
        <v>141902.02828148144</v>
      </c>
      <c r="K57" s="79">
        <f t="shared" si="7"/>
        <v>87049.39929999999</v>
      </c>
      <c r="L57" s="85">
        <f t="shared" si="5"/>
        <v>454.81419320987646</v>
      </c>
      <c r="M57" s="79">
        <f t="shared" si="6"/>
        <v>87050.299299999984</v>
      </c>
    </row>
    <row r="58" spans="1:17" x14ac:dyDescent="0.2">
      <c r="A58" s="83">
        <v>40013</v>
      </c>
      <c r="B58" s="79">
        <v>0</v>
      </c>
      <c r="C58" s="79">
        <v>0</v>
      </c>
      <c r="D58" s="79">
        <v>3037.96</v>
      </c>
      <c r="F58" s="79">
        <f t="shared" si="0"/>
        <v>3037.96</v>
      </c>
      <c r="G58" s="79">
        <f t="shared" si="1"/>
        <v>2345.2799999999997</v>
      </c>
      <c r="H58" s="79">
        <f t="shared" si="3"/>
        <v>2727.234561538462</v>
      </c>
      <c r="I58" s="79">
        <f>AVERAGE($F$31:F58)</f>
        <v>2739.9235464285712</v>
      </c>
      <c r="J58" s="84">
        <f t="shared" si="4"/>
        <v>142476.0244142857</v>
      </c>
      <c r="K58" s="79">
        <f t="shared" si="7"/>
        <v>90013.439299999984</v>
      </c>
      <c r="L58" s="85">
        <f t="shared" si="5"/>
        <v>456.65392440476188</v>
      </c>
      <c r="M58" s="79">
        <f t="shared" si="6"/>
        <v>90088.259299999991</v>
      </c>
    </row>
    <row r="59" spans="1:17" x14ac:dyDescent="0.2">
      <c r="A59" s="83">
        <v>40020</v>
      </c>
      <c r="B59" s="79">
        <v>0</v>
      </c>
      <c r="C59" s="79">
        <v>0</v>
      </c>
      <c r="D59" s="79">
        <v>1597.49</v>
      </c>
      <c r="F59" s="79">
        <f t="shared" si="0"/>
        <v>1597.49</v>
      </c>
      <c r="G59" s="79">
        <f t="shared" si="1"/>
        <v>2123.1824999999999</v>
      </c>
      <c r="H59" s="79">
        <f t="shared" si="3"/>
        <v>2604.4353307692309</v>
      </c>
      <c r="I59" s="79">
        <f>AVERAGE($F$31:F59)</f>
        <v>2700.5292862068968</v>
      </c>
      <c r="J59" s="84">
        <f t="shared" si="4"/>
        <v>140427.52288275864</v>
      </c>
      <c r="K59" s="79">
        <f t="shared" si="7"/>
        <v>91610.179299999989</v>
      </c>
      <c r="L59" s="85">
        <f t="shared" si="5"/>
        <v>450.08821436781614</v>
      </c>
      <c r="M59" s="79">
        <f t="shared" si="6"/>
        <v>91685.749299999996</v>
      </c>
    </row>
    <row r="60" spans="1:17" x14ac:dyDescent="0.2">
      <c r="A60" s="83">
        <v>40027</v>
      </c>
      <c r="B60" s="79">
        <v>0</v>
      </c>
      <c r="C60" s="79">
        <v>0</v>
      </c>
      <c r="D60" s="79">
        <v>3430.45</v>
      </c>
      <c r="F60" s="79">
        <f t="shared" si="0"/>
        <v>3430.45</v>
      </c>
      <c r="G60" s="79">
        <f t="shared" si="1"/>
        <v>2579.4749999999999</v>
      </c>
      <c r="H60" s="79">
        <f t="shared" si="3"/>
        <v>2673.2514846153845</v>
      </c>
      <c r="I60" s="79">
        <f>AVERAGE($F$31:F60)</f>
        <v>2724.8599766666666</v>
      </c>
      <c r="J60" s="84">
        <f t="shared" si="4"/>
        <v>141692.71878666666</v>
      </c>
      <c r="K60" s="79">
        <f t="shared" si="7"/>
        <v>94955.969299999997</v>
      </c>
      <c r="L60" s="85">
        <f t="shared" si="5"/>
        <v>454.14332944444442</v>
      </c>
      <c r="M60" s="79">
        <f t="shared" si="6"/>
        <v>95116.199299999993</v>
      </c>
      <c r="P60" s="87">
        <f>2740*0.33</f>
        <v>904.2</v>
      </c>
      <c r="Q60" s="88" t="s">
        <v>148</v>
      </c>
    </row>
    <row r="61" spans="1:17" x14ac:dyDescent="0.2">
      <c r="A61" s="83">
        <v>40034</v>
      </c>
      <c r="B61" s="79">
        <v>0</v>
      </c>
      <c r="C61" s="79">
        <v>0</v>
      </c>
      <c r="D61" s="79">
        <v>2450.17</v>
      </c>
      <c r="F61" s="79">
        <f t="shared" si="0"/>
        <v>2450.17</v>
      </c>
      <c r="G61" s="79">
        <f t="shared" si="1"/>
        <v>2629.0174999999999</v>
      </c>
      <c r="H61" s="79">
        <f t="shared" si="3"/>
        <v>2590.1971057692308</v>
      </c>
      <c r="I61" s="79">
        <f>AVERAGE($F$31:F61)</f>
        <v>2715.9990096774191</v>
      </c>
      <c r="J61" s="84">
        <f t="shared" si="4"/>
        <v>141231.94850322578</v>
      </c>
      <c r="K61" s="79">
        <f t="shared" si="7"/>
        <v>97321.529299999995</v>
      </c>
      <c r="L61" s="85">
        <f t="shared" si="5"/>
        <v>452.66650161290318</v>
      </c>
      <c r="M61" s="79">
        <f t="shared" si="6"/>
        <v>97566.369299999991</v>
      </c>
      <c r="P61" s="87">
        <f>+P60*52</f>
        <v>47018.400000000001</v>
      </c>
      <c r="Q61" s="89" t="s">
        <v>149</v>
      </c>
    </row>
    <row r="62" spans="1:17" x14ac:dyDescent="0.2">
      <c r="A62" s="83">
        <v>40041</v>
      </c>
      <c r="B62" s="79">
        <v>0</v>
      </c>
      <c r="C62" s="79">
        <v>0</v>
      </c>
      <c r="D62" s="79">
        <v>2164.6999999999998</v>
      </c>
      <c r="F62" s="79">
        <f t="shared" si="0"/>
        <v>2164.6999999999998</v>
      </c>
      <c r="G62" s="79">
        <f t="shared" si="1"/>
        <v>2410.7024999999999</v>
      </c>
      <c r="H62" s="79">
        <f t="shared" si="3"/>
        <v>2384.9483461538462</v>
      </c>
      <c r="I62" s="79">
        <f>AVERAGE($F$31:F62)</f>
        <v>2698.7709156249998</v>
      </c>
      <c r="J62" s="84">
        <f t="shared" si="4"/>
        <v>140336.08761249998</v>
      </c>
      <c r="K62" s="79">
        <f t="shared" si="7"/>
        <v>99056.369299999991</v>
      </c>
      <c r="L62" s="85">
        <f t="shared" si="5"/>
        <v>449.79515260416662</v>
      </c>
      <c r="M62" s="79">
        <f t="shared" si="6"/>
        <v>99731.069299999988</v>
      </c>
      <c r="P62" s="87">
        <f>+P61/12</f>
        <v>3918.2000000000003</v>
      </c>
      <c r="Q62" s="89" t="s">
        <v>150</v>
      </c>
    </row>
    <row r="63" spans="1:17" x14ac:dyDescent="0.2">
      <c r="A63" s="83">
        <v>40048</v>
      </c>
      <c r="B63" s="79">
        <v>0</v>
      </c>
      <c r="C63" s="79">
        <v>0</v>
      </c>
      <c r="D63" s="79">
        <v>1924.25</v>
      </c>
      <c r="F63" s="79">
        <f t="shared" si="0"/>
        <v>1924.25</v>
      </c>
      <c r="G63" s="79">
        <f t="shared" si="1"/>
        <v>2492.3924999999999</v>
      </c>
      <c r="H63" s="79">
        <f t="shared" si="3"/>
        <v>2381.0600000000004</v>
      </c>
      <c r="I63" s="79">
        <f>AVERAGE($F$31:F63)</f>
        <v>2675.3005848484845</v>
      </c>
      <c r="J63" s="84">
        <f t="shared" si="4"/>
        <v>139115.63041212119</v>
      </c>
      <c r="K63" s="79">
        <f t="shared" si="7"/>
        <v>100958.96929999998</v>
      </c>
      <c r="L63" s="85">
        <f t="shared" si="5"/>
        <v>445.88343080808073</v>
      </c>
      <c r="M63" s="79">
        <f t="shared" si="6"/>
        <v>101655.31929999999</v>
      </c>
      <c r="P63" s="87">
        <f>+P62-P498</f>
        <v>2103.2000000000003</v>
      </c>
      <c r="Q63" s="88" t="s">
        <v>151</v>
      </c>
    </row>
    <row r="64" spans="1:17" x14ac:dyDescent="0.2">
      <c r="A64" s="83">
        <v>40055</v>
      </c>
      <c r="B64" s="79">
        <v>0</v>
      </c>
      <c r="C64" s="79">
        <v>0</v>
      </c>
      <c r="D64" s="79">
        <v>3454.96</v>
      </c>
      <c r="F64" s="79">
        <f t="shared" si="0"/>
        <v>3454.96</v>
      </c>
      <c r="G64" s="79">
        <f t="shared" si="1"/>
        <v>2498.52</v>
      </c>
      <c r="H64" s="79">
        <f t="shared" si="3"/>
        <v>2473.1461538461544</v>
      </c>
      <c r="I64" s="79">
        <f>AVERAGE($F$31:F64)</f>
        <v>2698.2317441176469</v>
      </c>
      <c r="J64" s="84">
        <f t="shared" si="4"/>
        <v>140308.05069411764</v>
      </c>
      <c r="K64" s="79">
        <f t="shared" si="7"/>
        <v>104331.39929999999</v>
      </c>
      <c r="L64" s="85">
        <f t="shared" si="5"/>
        <v>449.70529068627451</v>
      </c>
      <c r="M64" s="79">
        <f t="shared" si="6"/>
        <v>105110.27929999999</v>
      </c>
      <c r="P64" s="90">
        <f>+P63*0.72</f>
        <v>1514.3040000000001</v>
      </c>
      <c r="Q64" s="88" t="s">
        <v>152</v>
      </c>
    </row>
    <row r="65" spans="1:13" x14ac:dyDescent="0.2">
      <c r="A65" s="83">
        <v>40062</v>
      </c>
      <c r="B65" s="79">
        <v>0</v>
      </c>
      <c r="C65" s="79">
        <v>0</v>
      </c>
      <c r="D65" s="79">
        <v>2153.65</v>
      </c>
      <c r="F65" s="79">
        <f t="shared" si="0"/>
        <v>2153.65</v>
      </c>
      <c r="G65" s="79">
        <f t="shared" si="1"/>
        <v>2424.39</v>
      </c>
      <c r="H65" s="79">
        <f t="shared" si="3"/>
        <v>2440.580769230769</v>
      </c>
      <c r="I65" s="79">
        <f>AVERAGE($F$31:F65)</f>
        <v>2682.6722657142855</v>
      </c>
      <c r="J65" s="84">
        <f t="shared" si="4"/>
        <v>139498.95781714283</v>
      </c>
      <c r="K65" s="79">
        <f t="shared" si="7"/>
        <v>105883.93929999998</v>
      </c>
      <c r="L65" s="85">
        <f t="shared" si="5"/>
        <v>447.11204428571426</v>
      </c>
      <c r="M65" s="79">
        <f t="shared" si="6"/>
        <v>107263.92929999999</v>
      </c>
    </row>
    <row r="66" spans="1:13" x14ac:dyDescent="0.2">
      <c r="A66" s="83">
        <v>40069</v>
      </c>
      <c r="B66" s="79">
        <v>0</v>
      </c>
      <c r="C66" s="79">
        <v>0</v>
      </c>
      <c r="D66" s="79">
        <v>2326.52</v>
      </c>
      <c r="F66" s="79">
        <f t="shared" si="0"/>
        <v>2326.52</v>
      </c>
      <c r="G66" s="79">
        <f t="shared" si="1"/>
        <v>2464.8450000000003</v>
      </c>
      <c r="H66" s="79">
        <f t="shared" si="3"/>
        <v>2409.3923076923074</v>
      </c>
      <c r="I66" s="79">
        <f>AVERAGE($F$31:F66)</f>
        <v>2672.779147222222</v>
      </c>
      <c r="J66" s="84">
        <f t="shared" si="4"/>
        <v>138984.51565555556</v>
      </c>
      <c r="K66" s="79">
        <f t="shared" si="7"/>
        <v>107789.5493</v>
      </c>
      <c r="L66" s="85">
        <f t="shared" si="5"/>
        <v>445.46319120370367</v>
      </c>
      <c r="M66" s="79">
        <f t="shared" si="6"/>
        <v>109590.44929999999</v>
      </c>
    </row>
    <row r="67" spans="1:13" x14ac:dyDescent="0.2">
      <c r="A67" s="83">
        <v>40076</v>
      </c>
      <c r="B67" s="79">
        <v>0</v>
      </c>
      <c r="C67" s="79">
        <v>0</v>
      </c>
      <c r="D67" s="79">
        <v>2882</v>
      </c>
      <c r="F67" s="79">
        <f t="shared" si="0"/>
        <v>2882</v>
      </c>
      <c r="G67" s="79">
        <f t="shared" si="1"/>
        <v>2704.2825000000003</v>
      </c>
      <c r="H67" s="79">
        <f t="shared" si="3"/>
        <v>2443.4853846153846</v>
      </c>
      <c r="I67" s="79">
        <f>AVERAGE($F$31:F67)</f>
        <v>2678.4337648648648</v>
      </c>
      <c r="J67" s="84">
        <f t="shared" si="4"/>
        <v>139278.55577297296</v>
      </c>
      <c r="K67" s="79">
        <f t="shared" si="7"/>
        <v>110517.8293</v>
      </c>
      <c r="L67" s="85">
        <f t="shared" si="5"/>
        <v>446.40562747747748</v>
      </c>
      <c r="M67" s="79">
        <f t="shared" si="6"/>
        <v>112472.44929999999</v>
      </c>
    </row>
    <row r="68" spans="1:13" x14ac:dyDescent="0.2">
      <c r="A68" s="83">
        <v>40083</v>
      </c>
      <c r="B68" s="79">
        <v>0</v>
      </c>
      <c r="C68" s="79">
        <v>0</v>
      </c>
      <c r="D68" s="79">
        <v>1972.28</v>
      </c>
      <c r="F68" s="79">
        <f t="shared" ref="F68:F131" si="8">SUM(B68:D68)</f>
        <v>1972.28</v>
      </c>
      <c r="G68" s="79">
        <f t="shared" si="1"/>
        <v>2333.6125000000002</v>
      </c>
      <c r="H68" s="79">
        <f t="shared" si="3"/>
        <v>2403.9776923076925</v>
      </c>
      <c r="I68" s="79">
        <f>AVERAGE($F$31:F68)</f>
        <v>2659.8507710526314</v>
      </c>
      <c r="J68" s="84">
        <f t="shared" si="4"/>
        <v>138312.24009473683</v>
      </c>
      <c r="K68" s="79">
        <f t="shared" si="7"/>
        <v>111478.4093</v>
      </c>
      <c r="L68" s="85">
        <f t="shared" si="5"/>
        <v>443.30846184210526</v>
      </c>
      <c r="M68" s="79">
        <f t="shared" si="6"/>
        <v>114444.72929999999</v>
      </c>
    </row>
    <row r="69" spans="1:13" x14ac:dyDescent="0.2">
      <c r="A69" s="83">
        <v>40090</v>
      </c>
      <c r="B69" s="79">
        <v>0</v>
      </c>
      <c r="C69" s="79">
        <v>0</v>
      </c>
      <c r="D69" s="79">
        <v>4457.9399999999996</v>
      </c>
      <c r="F69" s="79">
        <f t="shared" si="8"/>
        <v>4457.9399999999996</v>
      </c>
      <c r="G69" s="79">
        <f t="shared" si="1"/>
        <v>2909.6849999999999</v>
      </c>
      <c r="H69" s="79">
        <f t="shared" si="3"/>
        <v>2623.4130769230769</v>
      </c>
      <c r="I69" s="79">
        <f>AVERAGE($F$31:F69)</f>
        <v>2705.9556230769231</v>
      </c>
      <c r="J69" s="84">
        <f t="shared" si="4"/>
        <v>140709.6924</v>
      </c>
      <c r="K69" s="79">
        <f t="shared" si="7"/>
        <v>115517.52929999999</v>
      </c>
      <c r="L69" s="85">
        <f t="shared" si="5"/>
        <v>450.99260384615383</v>
      </c>
      <c r="M69" s="79">
        <f t="shared" si="6"/>
        <v>118902.66929999999</v>
      </c>
    </row>
    <row r="70" spans="1:13" x14ac:dyDescent="0.2">
      <c r="A70" s="83">
        <v>40097</v>
      </c>
      <c r="B70" s="79">
        <v>0</v>
      </c>
      <c r="C70" s="79">
        <v>0</v>
      </c>
      <c r="D70" s="79">
        <v>3731.69</v>
      </c>
      <c r="F70" s="79">
        <f t="shared" si="8"/>
        <v>3731.69</v>
      </c>
      <c r="G70" s="79">
        <f t="shared" si="1"/>
        <v>3260.9775</v>
      </c>
      <c r="H70" s="79">
        <f t="shared" si="3"/>
        <v>2737.2353846153846</v>
      </c>
      <c r="I70" s="79">
        <f>AVERAGE($F$31:F70)</f>
        <v>2731.5989825000001</v>
      </c>
      <c r="J70" s="84">
        <f t="shared" si="4"/>
        <v>142043.14709000001</v>
      </c>
      <c r="K70" s="79">
        <f t="shared" si="7"/>
        <v>117569.7993</v>
      </c>
      <c r="L70" s="85">
        <f t="shared" si="5"/>
        <v>455.26649708333338</v>
      </c>
      <c r="M70" s="79">
        <f>+M69+F70</f>
        <v>122634.3593</v>
      </c>
    </row>
    <row r="71" spans="1:13" x14ac:dyDescent="0.2">
      <c r="A71" s="83">
        <v>40104</v>
      </c>
      <c r="B71" s="79">
        <v>0</v>
      </c>
      <c r="C71" s="79">
        <v>0</v>
      </c>
      <c r="D71" s="79">
        <v>2253.16</v>
      </c>
      <c r="F71" s="79">
        <f t="shared" si="8"/>
        <v>2253.16</v>
      </c>
      <c r="G71" s="79">
        <f t="shared" ref="G71:G134" si="9">AVERAGE(F68:F71)</f>
        <v>3103.7674999999999</v>
      </c>
      <c r="H71" s="79">
        <f t="shared" si="3"/>
        <v>2676.8661538461533</v>
      </c>
      <c r="I71" s="79">
        <f>AVERAGE($F$31:F71)</f>
        <v>2719.9297390243905</v>
      </c>
      <c r="J71" s="84">
        <f t="shared" si="4"/>
        <v>141436.34642926831</v>
      </c>
      <c r="K71" s="79">
        <f t="shared" si="7"/>
        <v>119109.9093</v>
      </c>
      <c r="L71" s="85">
        <f t="shared" si="5"/>
        <v>453.32162317073175</v>
      </c>
      <c r="M71" s="79">
        <f>+M70+F71</f>
        <v>124887.5193</v>
      </c>
    </row>
    <row r="72" spans="1:13" x14ac:dyDescent="0.2">
      <c r="A72" s="83">
        <v>40111</v>
      </c>
      <c r="B72" s="79">
        <v>0</v>
      </c>
      <c r="C72" s="79">
        <v>0</v>
      </c>
      <c r="D72" s="79">
        <v>1575</v>
      </c>
      <c r="F72" s="79">
        <f t="shared" si="8"/>
        <v>1575</v>
      </c>
      <c r="G72" s="79">
        <f t="shared" si="9"/>
        <v>3004.4474999999998</v>
      </c>
      <c r="H72" s="79">
        <f t="shared" si="3"/>
        <v>2675.1361538461529</v>
      </c>
      <c r="I72" s="79">
        <f>AVERAGE($F$31:F72)</f>
        <v>2692.6695071428571</v>
      </c>
      <c r="J72" s="84">
        <f t="shared" si="4"/>
        <v>140018.81437142857</v>
      </c>
      <c r="K72" s="79">
        <f t="shared" si="7"/>
        <v>119644.8493</v>
      </c>
      <c r="L72" s="85">
        <f t="shared" si="5"/>
        <v>448.77825119047617</v>
      </c>
      <c r="M72" s="79">
        <f>+M71+F72</f>
        <v>126462.5193</v>
      </c>
    </row>
    <row r="73" spans="1:13" x14ac:dyDescent="0.2">
      <c r="A73" s="83">
        <v>40118</v>
      </c>
      <c r="B73" s="79">
        <v>0</v>
      </c>
      <c r="C73" s="79">
        <v>0</v>
      </c>
      <c r="D73" s="79">
        <v>1805.86</v>
      </c>
      <c r="F73" s="79">
        <f t="shared" si="8"/>
        <v>1805.86</v>
      </c>
      <c r="G73" s="79">
        <f t="shared" si="9"/>
        <v>2341.4275000000002</v>
      </c>
      <c r="H73" s="79">
        <f t="shared" si="3"/>
        <v>2550.1676923076916</v>
      </c>
      <c r="I73" s="79">
        <f>AVERAGE($F$31:F73)</f>
        <v>2672.0460302325582</v>
      </c>
      <c r="J73" s="84">
        <f t="shared" si="4"/>
        <v>138946.39357209302</v>
      </c>
      <c r="K73" s="79">
        <f t="shared" si="7"/>
        <v>121136.8193</v>
      </c>
      <c r="L73" s="85">
        <f t="shared" si="5"/>
        <v>445.3410050387597</v>
      </c>
      <c r="M73" s="79">
        <f t="shared" ref="M73:M101" si="10">+M72+F73</f>
        <v>128268.3793</v>
      </c>
    </row>
    <row r="74" spans="1:13" x14ac:dyDescent="0.2">
      <c r="A74" s="83">
        <v>40125</v>
      </c>
      <c r="B74" s="79">
        <v>0</v>
      </c>
      <c r="C74" s="79">
        <v>0</v>
      </c>
      <c r="D74" s="79">
        <v>3299.65</v>
      </c>
      <c r="F74" s="79">
        <f t="shared" si="8"/>
        <v>3299.65</v>
      </c>
      <c r="G74" s="79">
        <f t="shared" si="9"/>
        <v>2233.4175</v>
      </c>
      <c r="H74" s="79">
        <f t="shared" si="3"/>
        <v>2615.5123076923073</v>
      </c>
      <c r="I74" s="79">
        <f>AVERAGE($F$31:F74)</f>
        <v>2686.309756818182</v>
      </c>
      <c r="J74" s="84">
        <f t="shared" si="4"/>
        <v>139688.10735454547</v>
      </c>
      <c r="K74" s="79">
        <f t="shared" si="7"/>
        <v>123837.22929999999</v>
      </c>
      <c r="L74" s="85">
        <f t="shared" si="5"/>
        <v>447.71829280303035</v>
      </c>
      <c r="M74" s="79">
        <f t="shared" si="10"/>
        <v>131568.02929999999</v>
      </c>
    </row>
    <row r="75" spans="1:13" x14ac:dyDescent="0.2">
      <c r="A75" s="83">
        <v>40132</v>
      </c>
      <c r="B75" s="79">
        <v>0</v>
      </c>
      <c r="C75" s="79">
        <v>0</v>
      </c>
      <c r="D75" s="79">
        <f>2806.86-97.37</f>
        <v>2709.4900000000002</v>
      </c>
      <c r="F75" s="79">
        <f t="shared" si="8"/>
        <v>2709.4900000000002</v>
      </c>
      <c r="G75" s="79">
        <f t="shared" si="9"/>
        <v>2347.5</v>
      </c>
      <c r="H75" s="79">
        <f t="shared" si="3"/>
        <v>2657.419230769231</v>
      </c>
      <c r="I75" s="79">
        <f>AVERAGE($F$31:F75)</f>
        <v>2686.8248733333335</v>
      </c>
      <c r="J75" s="84">
        <f t="shared" si="4"/>
        <v>139714.89341333334</v>
      </c>
      <c r="K75" s="79">
        <f t="shared" si="7"/>
        <v>126014.19930000001</v>
      </c>
      <c r="L75" s="85">
        <f t="shared" si="5"/>
        <v>447.80414555555558</v>
      </c>
      <c r="M75" s="79">
        <f t="shared" si="10"/>
        <v>134277.51929999999</v>
      </c>
    </row>
    <row r="76" spans="1:13" x14ac:dyDescent="0.2">
      <c r="A76" s="83">
        <v>40139</v>
      </c>
      <c r="B76" s="79">
        <v>0</v>
      </c>
      <c r="C76" s="79">
        <v>0</v>
      </c>
      <c r="D76" s="79">
        <v>2442.89</v>
      </c>
      <c r="F76" s="79">
        <f t="shared" si="8"/>
        <v>2442.89</v>
      </c>
      <c r="G76" s="79">
        <f t="shared" si="9"/>
        <v>2564.4724999999999</v>
      </c>
      <c r="H76" s="79">
        <f t="shared" si="3"/>
        <v>2697.3146153846155</v>
      </c>
      <c r="I76" s="79">
        <f>AVERAGE($F$31:F76)</f>
        <v>2681.5219413043478</v>
      </c>
      <c r="J76" s="84">
        <f t="shared" si="4"/>
        <v>139439.14094782609</v>
      </c>
      <c r="K76" s="79">
        <f t="shared" si="7"/>
        <v>127933.16929999999</v>
      </c>
      <c r="L76" s="85">
        <f t="shared" si="5"/>
        <v>446.92032355072462</v>
      </c>
      <c r="M76" s="79">
        <f t="shared" si="10"/>
        <v>136720.4093</v>
      </c>
    </row>
    <row r="77" spans="1:13" x14ac:dyDescent="0.2">
      <c r="A77" s="83">
        <v>40146</v>
      </c>
      <c r="B77" s="79">
        <v>0</v>
      </c>
      <c r="C77" s="79">
        <v>0</v>
      </c>
      <c r="D77" s="79">
        <v>2021.7</v>
      </c>
      <c r="F77" s="79">
        <f t="shared" si="8"/>
        <v>2021.7</v>
      </c>
      <c r="G77" s="79">
        <f t="shared" si="9"/>
        <v>2618.4325000000003</v>
      </c>
      <c r="H77" s="79">
        <f t="shared" si="3"/>
        <v>2587.0638461538465</v>
      </c>
      <c r="I77" s="79">
        <f>AVERAGE($F$31:F77)</f>
        <v>2667.4831765957447</v>
      </c>
      <c r="J77" s="84">
        <f t="shared" si="4"/>
        <v>138709.12518297872</v>
      </c>
      <c r="K77" s="79">
        <f t="shared" si="7"/>
        <v>129270.27929999999</v>
      </c>
      <c r="L77" s="85">
        <f t="shared" si="5"/>
        <v>444.58052943262413</v>
      </c>
      <c r="M77" s="79">
        <f t="shared" si="10"/>
        <v>138742.10930000001</v>
      </c>
    </row>
    <row r="78" spans="1:13" x14ac:dyDescent="0.2">
      <c r="A78" s="83">
        <v>40153</v>
      </c>
      <c r="B78" s="79">
        <v>0</v>
      </c>
      <c r="C78" s="79">
        <v>0</v>
      </c>
      <c r="D78" s="79">
        <v>2234.4699999999998</v>
      </c>
      <c r="F78" s="79">
        <f t="shared" si="8"/>
        <v>2234.4699999999998</v>
      </c>
      <c r="G78" s="79">
        <f t="shared" si="9"/>
        <v>2352.1374999999998</v>
      </c>
      <c r="H78" s="79">
        <f t="shared" si="3"/>
        <v>2593.2807692307692</v>
      </c>
      <c r="I78" s="79">
        <f>AVERAGE($F$31:F78)</f>
        <v>2658.4620687500001</v>
      </c>
      <c r="J78" s="84">
        <f t="shared" si="4"/>
        <v>138240.02757500001</v>
      </c>
      <c r="K78" s="79">
        <f t="shared" si="7"/>
        <v>131016.8593</v>
      </c>
      <c r="L78" s="85">
        <f t="shared" si="5"/>
        <v>443.07701145833335</v>
      </c>
      <c r="M78" s="79">
        <f t="shared" si="10"/>
        <v>140976.57930000001</v>
      </c>
    </row>
    <row r="79" spans="1:13" x14ac:dyDescent="0.2">
      <c r="A79" s="83">
        <v>40160</v>
      </c>
      <c r="B79" s="79">
        <v>0</v>
      </c>
      <c r="C79" s="79">
        <v>0</v>
      </c>
      <c r="D79" s="79">
        <v>1539.43</v>
      </c>
      <c r="F79" s="79">
        <f t="shared" si="8"/>
        <v>1539.43</v>
      </c>
      <c r="G79" s="79">
        <f t="shared" si="9"/>
        <v>2059.6224999999999</v>
      </c>
      <c r="H79" s="79">
        <f t="shared" si="3"/>
        <v>2532.7353846153851</v>
      </c>
      <c r="I79" s="79">
        <f>AVERAGE($F$31:F79)</f>
        <v>2635.6246795918369</v>
      </c>
      <c r="J79" s="84">
        <f t="shared" si="4"/>
        <v>137052.48333877552</v>
      </c>
      <c r="K79" s="79">
        <f t="shared" si="7"/>
        <v>131647.22930000001</v>
      </c>
      <c r="L79" s="85">
        <f t="shared" si="5"/>
        <v>439.27077993197281</v>
      </c>
      <c r="M79" s="79">
        <f t="shared" si="10"/>
        <v>142516.00930000001</v>
      </c>
    </row>
    <row r="80" spans="1:13" x14ac:dyDescent="0.2">
      <c r="A80" s="83">
        <v>40167</v>
      </c>
      <c r="B80" s="79">
        <v>0</v>
      </c>
      <c r="C80" s="79">
        <v>0</v>
      </c>
      <c r="D80" s="79">
        <v>1756.09</v>
      </c>
      <c r="F80" s="79">
        <f t="shared" si="8"/>
        <v>1756.09</v>
      </c>
      <c r="G80" s="79">
        <f t="shared" si="9"/>
        <v>1887.9225000000001</v>
      </c>
      <c r="H80" s="79">
        <f t="shared" ref="H80:H143" si="11">AVERAGE(F68:F80)</f>
        <v>2446.1269230769235</v>
      </c>
      <c r="I80" s="79">
        <f>AVERAGE($F$31:F80)</f>
        <v>2618.0339859999999</v>
      </c>
      <c r="J80" s="84">
        <f t="shared" si="4"/>
        <v>136137.767272</v>
      </c>
      <c r="K80" s="79">
        <f t="shared" si="7"/>
        <v>132447.5693</v>
      </c>
      <c r="L80" s="85">
        <f t="shared" si="5"/>
        <v>436.33899766666667</v>
      </c>
      <c r="M80" s="79">
        <f t="shared" si="10"/>
        <v>144272.0993</v>
      </c>
    </row>
    <row r="81" spans="1:17" x14ac:dyDescent="0.2">
      <c r="A81" s="83">
        <v>40174</v>
      </c>
      <c r="B81" s="79">
        <v>0</v>
      </c>
      <c r="C81" s="79">
        <v>0</v>
      </c>
      <c r="D81" s="79">
        <f>2120.28-92.01</f>
        <v>2028.2700000000002</v>
      </c>
      <c r="F81" s="79">
        <f t="shared" si="8"/>
        <v>2028.2700000000002</v>
      </c>
      <c r="G81" s="79">
        <f t="shared" si="9"/>
        <v>1889.5650000000001</v>
      </c>
      <c r="H81" s="79">
        <f t="shared" si="11"/>
        <v>2450.4338461538464</v>
      </c>
      <c r="I81" s="79">
        <f>AVERAGE($F$31:F81)</f>
        <v>2606.4699862745097</v>
      </c>
      <c r="J81" s="84">
        <f t="shared" si="4"/>
        <v>135536.43928627452</v>
      </c>
      <c r="K81" s="91">
        <f t="shared" si="7"/>
        <v>133583.63929999998</v>
      </c>
      <c r="L81" s="25">
        <f t="shared" si="5"/>
        <v>434.41166437908493</v>
      </c>
      <c r="M81" s="79">
        <f t="shared" si="10"/>
        <v>146300.36929999999</v>
      </c>
    </row>
    <row r="82" spans="1:17" x14ac:dyDescent="0.2">
      <c r="A82" s="83">
        <v>40181</v>
      </c>
      <c r="B82" s="79">
        <v>0</v>
      </c>
      <c r="C82" s="79">
        <v>0</v>
      </c>
      <c r="D82" s="79">
        <v>4032.98</v>
      </c>
      <c r="F82" s="79">
        <f t="shared" si="8"/>
        <v>4032.98</v>
      </c>
      <c r="G82" s="79">
        <f t="shared" si="9"/>
        <v>2339.1925000000001</v>
      </c>
      <c r="H82" s="79">
        <f t="shared" si="11"/>
        <v>2417.7446153846158</v>
      </c>
      <c r="I82" s="79">
        <f>AVERAGE($F$31:F82)</f>
        <v>2633.9028711538463</v>
      </c>
      <c r="J82" s="84">
        <f t="shared" si="4"/>
        <v>136962.94930000001</v>
      </c>
      <c r="K82" s="92">
        <f t="shared" si="7"/>
        <v>136962.94930000001</v>
      </c>
      <c r="L82" s="93">
        <f t="shared" si="5"/>
        <v>438.98381185897438</v>
      </c>
      <c r="M82" s="79">
        <f t="shared" si="10"/>
        <v>150333.3493</v>
      </c>
      <c r="Q82" s="94"/>
    </row>
    <row r="83" spans="1:17" x14ac:dyDescent="0.2">
      <c r="A83" s="83">
        <v>40188</v>
      </c>
      <c r="B83" s="79">
        <v>0</v>
      </c>
      <c r="C83" s="79">
        <v>0</v>
      </c>
      <c r="D83" s="79">
        <v>1194.68</v>
      </c>
      <c r="F83" s="79">
        <f t="shared" si="8"/>
        <v>1194.68</v>
      </c>
      <c r="G83" s="79">
        <f t="shared" si="9"/>
        <v>2253.0050000000001</v>
      </c>
      <c r="H83" s="79">
        <f t="shared" si="11"/>
        <v>2222.59</v>
      </c>
      <c r="I83" s="79">
        <f>AVERAGE(F83)</f>
        <v>1194.68</v>
      </c>
      <c r="J83" s="84">
        <f t="shared" si="4"/>
        <v>62123.360000000001</v>
      </c>
      <c r="K83" s="79">
        <f t="shared" si="7"/>
        <v>136415.61929999999</v>
      </c>
      <c r="L83" s="85">
        <f t="shared" si="5"/>
        <v>199.11333333333334</v>
      </c>
      <c r="M83" s="79">
        <f t="shared" si="10"/>
        <v>151528.02929999999</v>
      </c>
      <c r="Q83" s="94"/>
    </row>
    <row r="84" spans="1:17" x14ac:dyDescent="0.2">
      <c r="A84" s="83">
        <v>40195</v>
      </c>
      <c r="B84" s="79">
        <v>0</v>
      </c>
      <c r="C84" s="79">
        <v>0</v>
      </c>
      <c r="D84" s="79">
        <v>2481.4299999999998</v>
      </c>
      <c r="F84" s="79">
        <f t="shared" si="8"/>
        <v>2481.4299999999998</v>
      </c>
      <c r="G84" s="79">
        <f t="shared" si="9"/>
        <v>2434.34</v>
      </c>
      <c r="H84" s="79">
        <f t="shared" si="11"/>
        <v>2240.1492307692306</v>
      </c>
      <c r="I84" s="79">
        <f>AVERAGE($F$83:F84)</f>
        <v>1838.0549999999998</v>
      </c>
      <c r="J84" s="84">
        <f t="shared" si="4"/>
        <v>95578.859999999986</v>
      </c>
      <c r="K84" s="79">
        <f t="shared" si="7"/>
        <v>137548.9993</v>
      </c>
      <c r="L84" s="85">
        <f t="shared" si="5"/>
        <v>306.34249999999997</v>
      </c>
      <c r="M84" s="79">
        <f t="shared" si="10"/>
        <v>154009.45929999999</v>
      </c>
      <c r="Q84" s="94"/>
    </row>
    <row r="85" spans="1:17" x14ac:dyDescent="0.2">
      <c r="A85" s="83">
        <v>40202</v>
      </c>
      <c r="B85" s="79">
        <v>0</v>
      </c>
      <c r="C85" s="79">
        <v>0</v>
      </c>
      <c r="D85" s="95">
        <v>4484.8</v>
      </c>
      <c r="F85" s="79">
        <f t="shared" si="8"/>
        <v>4484.8</v>
      </c>
      <c r="G85" s="79">
        <f t="shared" si="9"/>
        <v>3048.4724999999999</v>
      </c>
      <c r="H85" s="79">
        <f t="shared" si="11"/>
        <v>2463.98</v>
      </c>
      <c r="I85" s="79">
        <f>AVERAGE($F$83:F85)</f>
        <v>2720.3033333333333</v>
      </c>
      <c r="J85" s="84">
        <f t="shared" si="4"/>
        <v>141455.77333333332</v>
      </c>
      <c r="K85" s="79">
        <f t="shared" si="7"/>
        <v>138867.94929999998</v>
      </c>
      <c r="L85" s="85">
        <f t="shared" si="5"/>
        <v>453.38388888888886</v>
      </c>
      <c r="M85" s="79">
        <f t="shared" si="10"/>
        <v>158494.25929999998</v>
      </c>
      <c r="Q85" s="94"/>
    </row>
    <row r="86" spans="1:17" x14ac:dyDescent="0.2">
      <c r="A86" s="83">
        <v>40209</v>
      </c>
      <c r="B86" s="79">
        <v>0</v>
      </c>
      <c r="C86" s="79">
        <v>0</v>
      </c>
      <c r="D86" s="95">
        <v>3616.31</v>
      </c>
      <c r="F86" s="79">
        <f t="shared" si="8"/>
        <v>3616.31</v>
      </c>
      <c r="G86" s="79">
        <f t="shared" si="9"/>
        <v>2944.3049999999998</v>
      </c>
      <c r="H86" s="79">
        <f t="shared" si="11"/>
        <v>2603.2453846153849</v>
      </c>
      <c r="I86" s="79">
        <f>AVERAGE($F$83:F86)</f>
        <v>2944.3049999999998</v>
      </c>
      <c r="J86" s="84">
        <f t="shared" si="4"/>
        <v>153103.85999999999</v>
      </c>
      <c r="K86" s="79">
        <f t="shared" si="7"/>
        <v>140013.81929999997</v>
      </c>
      <c r="L86" s="85">
        <f t="shared" si="5"/>
        <v>490.71749999999997</v>
      </c>
      <c r="M86" s="79">
        <f t="shared" si="10"/>
        <v>162110.56929999997</v>
      </c>
      <c r="Q86" s="94"/>
    </row>
    <row r="87" spans="1:17" x14ac:dyDescent="0.2">
      <c r="A87" s="83">
        <v>40216</v>
      </c>
      <c r="B87" s="79">
        <v>0</v>
      </c>
      <c r="C87" s="79">
        <v>0</v>
      </c>
      <c r="D87" s="95">
        <v>3817.54</v>
      </c>
      <c r="F87" s="79">
        <f t="shared" si="8"/>
        <v>3817.54</v>
      </c>
      <c r="G87" s="79">
        <f t="shared" si="9"/>
        <v>3600.0199999999995</v>
      </c>
      <c r="H87" s="79">
        <f t="shared" si="11"/>
        <v>2643.083076923077</v>
      </c>
      <c r="I87" s="79">
        <f>AVERAGE($F$83:F87)</f>
        <v>3118.9519999999998</v>
      </c>
      <c r="J87" s="84">
        <f t="shared" si="4"/>
        <v>162185.50399999999</v>
      </c>
      <c r="K87" s="79">
        <f t="shared" si="7"/>
        <v>141729.06929999997</v>
      </c>
      <c r="L87" s="85">
        <f t="shared" si="5"/>
        <v>519.82533333333333</v>
      </c>
      <c r="M87" s="79">
        <f t="shared" si="10"/>
        <v>165928.10929999998</v>
      </c>
      <c r="Q87" s="94"/>
    </row>
    <row r="88" spans="1:17" x14ac:dyDescent="0.2">
      <c r="A88" s="83">
        <v>40223</v>
      </c>
      <c r="B88" s="79">
        <v>0</v>
      </c>
      <c r="C88" s="79">
        <v>0</v>
      </c>
      <c r="D88" s="95">
        <v>4521.33</v>
      </c>
      <c r="F88" s="79">
        <f t="shared" si="8"/>
        <v>4521.33</v>
      </c>
      <c r="G88" s="79">
        <f t="shared" si="9"/>
        <v>4109.9950000000008</v>
      </c>
      <c r="H88" s="79">
        <f t="shared" si="11"/>
        <v>2782.4553846153844</v>
      </c>
      <c r="I88" s="79">
        <f>AVERAGE($F$83:F88)</f>
        <v>3352.6816666666659</v>
      </c>
      <c r="J88" s="84">
        <f t="shared" si="4"/>
        <v>174339.44666666663</v>
      </c>
      <c r="K88" s="79">
        <f t="shared" si="7"/>
        <v>141864.55929999996</v>
      </c>
      <c r="L88" s="85">
        <f t="shared" si="5"/>
        <v>558.78027777777766</v>
      </c>
      <c r="M88" s="79">
        <f t="shared" si="10"/>
        <v>170449.43929999997</v>
      </c>
      <c r="Q88" s="94"/>
    </row>
    <row r="89" spans="1:17" x14ac:dyDescent="0.2">
      <c r="A89" s="83">
        <v>40230</v>
      </c>
      <c r="B89" s="79">
        <v>0</v>
      </c>
      <c r="C89" s="79">
        <v>0</v>
      </c>
      <c r="D89" s="95">
        <v>4916.37</v>
      </c>
      <c r="F89" s="79">
        <f t="shared" si="8"/>
        <v>4916.37</v>
      </c>
      <c r="G89" s="79">
        <f t="shared" si="9"/>
        <v>4217.8874999999998</v>
      </c>
      <c r="H89" s="79">
        <f t="shared" si="11"/>
        <v>2972.7230769230769</v>
      </c>
      <c r="I89" s="79">
        <f>AVERAGE($F$83:F89)</f>
        <v>3576.0657142857135</v>
      </c>
      <c r="J89" s="84">
        <f t="shared" si="4"/>
        <v>185955.4171428571</v>
      </c>
      <c r="K89" s="79">
        <f t="shared" si="7"/>
        <v>143604.23929999996</v>
      </c>
      <c r="L89" s="85">
        <f t="shared" si="5"/>
        <v>596.01095238095229</v>
      </c>
      <c r="M89" s="79">
        <f t="shared" si="10"/>
        <v>175365.80929999996</v>
      </c>
      <c r="Q89" s="94"/>
    </row>
    <row r="90" spans="1:17" x14ac:dyDescent="0.2">
      <c r="A90" s="83">
        <v>40237</v>
      </c>
      <c r="B90" s="79">
        <v>0</v>
      </c>
      <c r="C90" s="79">
        <v>0</v>
      </c>
      <c r="D90" s="95">
        <v>4871.05</v>
      </c>
      <c r="F90" s="79">
        <f t="shared" si="8"/>
        <v>4871.05</v>
      </c>
      <c r="G90" s="79">
        <f t="shared" si="9"/>
        <v>4531.5724999999993</v>
      </c>
      <c r="H90" s="79">
        <f t="shared" si="11"/>
        <v>3191.9038461538466</v>
      </c>
      <c r="I90" s="79">
        <f>AVERAGE($F$83:F90)</f>
        <v>3737.9387499999993</v>
      </c>
      <c r="J90" s="84">
        <f t="shared" si="4"/>
        <v>194372.81499999997</v>
      </c>
      <c r="K90" s="79">
        <f t="shared" si="7"/>
        <v>145420.20929999996</v>
      </c>
      <c r="L90" s="85">
        <f t="shared" si="5"/>
        <v>622.98979166666652</v>
      </c>
      <c r="M90" s="79">
        <f t="shared" si="10"/>
        <v>180236.85929999995</v>
      </c>
      <c r="Q90" s="94"/>
    </row>
    <row r="91" spans="1:17" x14ac:dyDescent="0.2">
      <c r="A91" s="83">
        <v>40244</v>
      </c>
      <c r="B91" s="79">
        <v>0</v>
      </c>
      <c r="C91" s="79">
        <v>0</v>
      </c>
      <c r="D91" s="95">
        <v>5659.78</v>
      </c>
      <c r="F91" s="79">
        <f t="shared" si="8"/>
        <v>5659.78</v>
      </c>
      <c r="G91" s="79">
        <f t="shared" si="9"/>
        <v>4992.1324999999997</v>
      </c>
      <c r="H91" s="79">
        <f t="shared" si="11"/>
        <v>3455.3892307692313</v>
      </c>
      <c r="I91" s="79">
        <f>AVERAGE($F$83:F91)</f>
        <v>3951.476666666666</v>
      </c>
      <c r="J91" s="84">
        <f t="shared" si="4"/>
        <v>205476.78666666662</v>
      </c>
      <c r="K91" s="79">
        <f t="shared" si="7"/>
        <v>148172.62929999994</v>
      </c>
      <c r="L91" s="85">
        <f t="shared" si="5"/>
        <v>658.57944444444433</v>
      </c>
      <c r="M91" s="79">
        <f t="shared" si="10"/>
        <v>185896.63929999995</v>
      </c>
      <c r="Q91" s="94"/>
    </row>
    <row r="92" spans="1:17" x14ac:dyDescent="0.2">
      <c r="A92" s="83">
        <v>40251</v>
      </c>
      <c r="B92" s="79">
        <v>0</v>
      </c>
      <c r="C92" s="79">
        <v>0</v>
      </c>
      <c r="D92" s="95">
        <v>5274.38</v>
      </c>
      <c r="F92" s="79">
        <f t="shared" si="8"/>
        <v>5274.38</v>
      </c>
      <c r="G92" s="79">
        <f t="shared" si="9"/>
        <v>5180.3950000000004</v>
      </c>
      <c r="H92" s="79">
        <f t="shared" si="11"/>
        <v>3742.6930769230771</v>
      </c>
      <c r="I92" s="79">
        <f>AVERAGE($F$83:F92)</f>
        <v>4083.7669999999989</v>
      </c>
      <c r="J92" s="84">
        <f t="shared" si="4"/>
        <v>212355.88399999993</v>
      </c>
      <c r="K92" s="79">
        <f t="shared" si="7"/>
        <v>151275.76929999996</v>
      </c>
      <c r="L92" s="85">
        <f t="shared" si="5"/>
        <v>680.62783333333311</v>
      </c>
      <c r="M92" s="79">
        <f t="shared" si="10"/>
        <v>191171.01929999996</v>
      </c>
      <c r="Q92" s="94"/>
    </row>
    <row r="93" spans="1:17" x14ac:dyDescent="0.2">
      <c r="A93" s="83">
        <v>40258</v>
      </c>
      <c r="B93" s="79">
        <v>0</v>
      </c>
      <c r="C93" s="79">
        <v>0</v>
      </c>
      <c r="D93" s="95">
        <v>3703.66</v>
      </c>
      <c r="F93" s="79">
        <f t="shared" si="8"/>
        <v>3703.66</v>
      </c>
      <c r="G93" s="79">
        <f t="shared" si="9"/>
        <v>4877.2174999999997</v>
      </c>
      <c r="H93" s="79">
        <f t="shared" si="11"/>
        <v>3892.5061538461541</v>
      </c>
      <c r="I93" s="79">
        <f>AVERAGE($F$83:F93)</f>
        <v>4049.2118181818169</v>
      </c>
      <c r="J93" s="84">
        <f t="shared" si="4"/>
        <v>210559.01454545447</v>
      </c>
      <c r="K93" s="79">
        <f t="shared" si="7"/>
        <v>152735.74929999997</v>
      </c>
      <c r="L93" s="85">
        <f t="shared" si="5"/>
        <v>674.86863636363614</v>
      </c>
      <c r="M93" s="79">
        <f t="shared" si="10"/>
        <v>194874.67929999996</v>
      </c>
      <c r="Q93" s="94"/>
    </row>
    <row r="94" spans="1:17" x14ac:dyDescent="0.2">
      <c r="A94" s="83">
        <v>40265</v>
      </c>
      <c r="B94" s="79">
        <v>0</v>
      </c>
      <c r="C94" s="79">
        <v>0</v>
      </c>
      <c r="D94" s="95">
        <v>3148.66</v>
      </c>
      <c r="F94" s="79">
        <f t="shared" si="8"/>
        <v>3148.66</v>
      </c>
      <c r="G94" s="79">
        <f t="shared" si="9"/>
        <v>4446.62</v>
      </c>
      <c r="H94" s="79">
        <f t="shared" si="11"/>
        <v>3978.69</v>
      </c>
      <c r="I94" s="79">
        <f>AVERAGE($F$83:F94)</f>
        <v>3974.1658333333326</v>
      </c>
      <c r="J94" s="84">
        <f t="shared" si="4"/>
        <v>206656.62333333329</v>
      </c>
      <c r="K94" s="79">
        <f t="shared" si="7"/>
        <v>153504.60929999995</v>
      </c>
      <c r="L94" s="85">
        <f t="shared" si="5"/>
        <v>662.36097222222213</v>
      </c>
      <c r="M94" s="79">
        <f t="shared" si="10"/>
        <v>198023.33929999996</v>
      </c>
      <c r="Q94" s="94"/>
    </row>
    <row r="95" spans="1:17" x14ac:dyDescent="0.2">
      <c r="A95" s="83">
        <v>40272</v>
      </c>
      <c r="B95" s="79">
        <v>0</v>
      </c>
      <c r="C95" s="79">
        <v>0</v>
      </c>
      <c r="D95" s="95">
        <f>5525.52-51.58</f>
        <v>5473.9400000000005</v>
      </c>
      <c r="F95" s="79">
        <f t="shared" si="8"/>
        <v>5473.9400000000005</v>
      </c>
      <c r="G95" s="79">
        <f t="shared" si="9"/>
        <v>4400.16</v>
      </c>
      <c r="H95" s="79">
        <f t="shared" si="11"/>
        <v>4089.5330769230764</v>
      </c>
      <c r="I95" s="79">
        <f>AVERAGE($F$83:F95)</f>
        <v>4089.5330769230764</v>
      </c>
      <c r="J95" s="84">
        <f t="shared" ref="J95:J158" si="12">+I95*52</f>
        <v>212655.71999999997</v>
      </c>
      <c r="K95" s="79">
        <f t="shared" si="7"/>
        <v>155667.55929999996</v>
      </c>
      <c r="L95" s="85">
        <f t="shared" ref="L95:L158" si="13">+I95/6</f>
        <v>681.58884615384602</v>
      </c>
      <c r="M95" s="79">
        <f t="shared" si="10"/>
        <v>203497.27929999997</v>
      </c>
      <c r="Q95" s="94"/>
    </row>
    <row r="96" spans="1:17" x14ac:dyDescent="0.2">
      <c r="A96" s="83">
        <v>40279</v>
      </c>
      <c r="B96" s="79">
        <v>0</v>
      </c>
      <c r="C96" s="79">
        <v>0</v>
      </c>
      <c r="D96" s="95">
        <v>4345.8</v>
      </c>
      <c r="F96" s="79">
        <f t="shared" si="8"/>
        <v>4345.8</v>
      </c>
      <c r="G96" s="79">
        <f t="shared" si="9"/>
        <v>4168.0150000000003</v>
      </c>
      <c r="H96" s="79">
        <f t="shared" si="11"/>
        <v>4331.9269230769232</v>
      </c>
      <c r="I96" s="79">
        <f>AVERAGE($F$83:F96)</f>
        <v>4107.8378571428566</v>
      </c>
      <c r="J96" s="84">
        <f t="shared" si="12"/>
        <v>213607.56857142854</v>
      </c>
      <c r="K96" s="79">
        <f t="shared" si="7"/>
        <v>157838.28929999997</v>
      </c>
      <c r="L96" s="85">
        <f t="shared" si="13"/>
        <v>684.6396428571428</v>
      </c>
      <c r="M96" s="79">
        <f t="shared" si="10"/>
        <v>207843.07929999995</v>
      </c>
      <c r="Q96" s="94"/>
    </row>
    <row r="97" spans="1:17" x14ac:dyDescent="0.2">
      <c r="A97" s="83">
        <v>40286</v>
      </c>
      <c r="B97" s="79">
        <v>0</v>
      </c>
      <c r="C97" s="79">
        <v>0</v>
      </c>
      <c r="D97" s="95">
        <v>4225.7299999999996</v>
      </c>
      <c r="F97" s="79">
        <f t="shared" si="8"/>
        <v>4225.7299999999996</v>
      </c>
      <c r="G97" s="79">
        <f t="shared" si="9"/>
        <v>4298.5325000000003</v>
      </c>
      <c r="H97" s="79">
        <f t="shared" si="11"/>
        <v>4466.1038461538465</v>
      </c>
      <c r="I97" s="79">
        <f>AVERAGE($F$83:F97)</f>
        <v>4115.6973333333326</v>
      </c>
      <c r="J97" s="84">
        <f t="shared" si="12"/>
        <v>214016.2613333333</v>
      </c>
      <c r="K97" s="79">
        <f t="shared" si="7"/>
        <v>157434.59929999997</v>
      </c>
      <c r="L97" s="85">
        <f t="shared" si="13"/>
        <v>685.94955555555543</v>
      </c>
      <c r="M97" s="79">
        <f t="shared" si="10"/>
        <v>212068.80929999996</v>
      </c>
      <c r="Q97" s="94"/>
    </row>
    <row r="98" spans="1:17" x14ac:dyDescent="0.2">
      <c r="A98" s="83">
        <v>40293</v>
      </c>
      <c r="B98" s="79">
        <v>0</v>
      </c>
      <c r="C98" s="79">
        <v>0</v>
      </c>
      <c r="D98" s="95">
        <v>4363.13</v>
      </c>
      <c r="F98" s="79">
        <f t="shared" si="8"/>
        <v>4363.13</v>
      </c>
      <c r="G98" s="79">
        <f t="shared" si="9"/>
        <v>4602.1500000000005</v>
      </c>
      <c r="H98" s="79">
        <f t="shared" si="11"/>
        <v>4456.7446153846158</v>
      </c>
      <c r="I98" s="79">
        <f>AVERAGE($F$83:F98)</f>
        <v>4131.1618749999998</v>
      </c>
      <c r="J98" s="84">
        <f t="shared" si="12"/>
        <v>214820.41749999998</v>
      </c>
      <c r="K98" s="79">
        <f t="shared" si="7"/>
        <v>158603.84929999997</v>
      </c>
      <c r="L98" s="85">
        <f t="shared" si="13"/>
        <v>688.52697916666659</v>
      </c>
      <c r="M98" s="79">
        <f t="shared" si="10"/>
        <v>216431.93929999997</v>
      </c>
      <c r="Q98" s="94"/>
    </row>
    <row r="99" spans="1:17" x14ac:dyDescent="0.2">
      <c r="A99" s="83">
        <v>40300</v>
      </c>
      <c r="B99" s="79">
        <v>0</v>
      </c>
      <c r="C99" s="79">
        <v>0</v>
      </c>
      <c r="D99" s="95">
        <v>2626.9</v>
      </c>
      <c r="F99" s="79">
        <f t="shared" si="8"/>
        <v>2626.9</v>
      </c>
      <c r="G99" s="79">
        <f t="shared" si="9"/>
        <v>3890.39</v>
      </c>
      <c r="H99" s="79">
        <f t="shared" si="11"/>
        <v>4380.6361538461542</v>
      </c>
      <c r="I99" s="79">
        <f>AVERAGE($F$83:F99)</f>
        <v>4042.6758823529408</v>
      </c>
      <c r="J99" s="84">
        <f t="shared" si="12"/>
        <v>210219.14588235292</v>
      </c>
      <c r="K99" s="79">
        <f t="shared" si="7"/>
        <v>158694.90929999997</v>
      </c>
      <c r="L99" s="85">
        <f t="shared" si="13"/>
        <v>673.77931372549017</v>
      </c>
      <c r="M99" s="79">
        <f t="shared" si="10"/>
        <v>219058.83929999996</v>
      </c>
      <c r="Q99" s="94"/>
    </row>
    <row r="100" spans="1:17" x14ac:dyDescent="0.2">
      <c r="A100" s="83">
        <v>40307</v>
      </c>
      <c r="B100" s="79">
        <v>0</v>
      </c>
      <c r="C100" s="79">
        <v>0</v>
      </c>
      <c r="D100" s="79">
        <v>3557.63</v>
      </c>
      <c r="F100" s="79">
        <f t="shared" si="8"/>
        <v>3557.63</v>
      </c>
      <c r="G100" s="79">
        <f t="shared" si="9"/>
        <v>3693.3474999999999</v>
      </c>
      <c r="H100" s="79">
        <f t="shared" si="11"/>
        <v>4360.6430769230765</v>
      </c>
      <c r="I100" s="79">
        <f>AVERAGE($F$83:F100)</f>
        <v>4015.7288888888888</v>
      </c>
      <c r="J100" s="84">
        <f t="shared" si="12"/>
        <v>208817.90222222221</v>
      </c>
      <c r="K100" s="79">
        <f t="shared" si="7"/>
        <v>158722.66237499999</v>
      </c>
      <c r="L100" s="85">
        <f t="shared" si="13"/>
        <v>669.28814814814814</v>
      </c>
      <c r="M100" s="79">
        <f t="shared" si="10"/>
        <v>222616.46929999997</v>
      </c>
      <c r="Q100" s="94"/>
    </row>
    <row r="101" spans="1:17" x14ac:dyDescent="0.2">
      <c r="A101" s="83">
        <v>40314</v>
      </c>
      <c r="B101" s="79">
        <v>0</v>
      </c>
      <c r="C101" s="79">
        <v>0</v>
      </c>
      <c r="D101" s="79">
        <v>3364.22</v>
      </c>
      <c r="F101" s="79">
        <f t="shared" si="8"/>
        <v>3364.22</v>
      </c>
      <c r="G101" s="79">
        <f t="shared" si="9"/>
        <v>3477.97</v>
      </c>
      <c r="H101" s="79">
        <f t="shared" si="11"/>
        <v>4271.6346153846162</v>
      </c>
      <c r="I101" s="79">
        <f>AVERAGE($F$83:F101)</f>
        <v>3981.4389473684209</v>
      </c>
      <c r="J101" s="84">
        <f t="shared" si="12"/>
        <v>207034.82526315789</v>
      </c>
      <c r="K101" s="79">
        <f t="shared" si="7"/>
        <v>157253.94849999997</v>
      </c>
      <c r="L101" s="85">
        <f t="shared" si="13"/>
        <v>663.57315789473682</v>
      </c>
      <c r="M101" s="79">
        <f t="shared" si="10"/>
        <v>225980.68929999997</v>
      </c>
      <c r="Q101" s="94"/>
    </row>
    <row r="102" spans="1:17" x14ac:dyDescent="0.2">
      <c r="A102" s="83">
        <v>40321</v>
      </c>
      <c r="B102" s="79">
        <v>0</v>
      </c>
      <c r="C102" s="79">
        <v>0</v>
      </c>
      <c r="D102" s="79">
        <v>5279.7</v>
      </c>
      <c r="F102" s="79">
        <f t="shared" si="8"/>
        <v>5279.7</v>
      </c>
      <c r="G102" s="79">
        <f t="shared" si="9"/>
        <v>3707.1125000000002</v>
      </c>
      <c r="H102" s="79">
        <f t="shared" si="11"/>
        <v>4299.5830769230761</v>
      </c>
      <c r="I102" s="79">
        <f>AVERAGE($F$83:F102)</f>
        <v>4046.3519999999999</v>
      </c>
      <c r="J102" s="84">
        <f t="shared" si="12"/>
        <v>210410.304</v>
      </c>
      <c r="K102" s="79">
        <f t="shared" si="7"/>
        <v>160558.85</v>
      </c>
      <c r="L102" s="85">
        <f t="shared" si="13"/>
        <v>674.39199999999994</v>
      </c>
      <c r="M102" s="79">
        <f>+M101+F102</f>
        <v>231260.38929999998</v>
      </c>
      <c r="Q102" s="94"/>
    </row>
    <row r="103" spans="1:17" x14ac:dyDescent="0.2">
      <c r="A103" s="83">
        <v>40328</v>
      </c>
      <c r="B103" s="79">
        <v>0</v>
      </c>
      <c r="C103" s="79">
        <v>0</v>
      </c>
      <c r="D103" s="95">
        <v>5455.43</v>
      </c>
      <c r="F103" s="79">
        <f t="shared" si="8"/>
        <v>5455.43</v>
      </c>
      <c r="G103" s="79">
        <f t="shared" si="9"/>
        <v>4414.2449999999999</v>
      </c>
      <c r="H103" s="79">
        <f t="shared" si="11"/>
        <v>4344.5353846153839</v>
      </c>
      <c r="I103" s="79">
        <f>AVERAGE($F$83:F103)</f>
        <v>4113.450952380952</v>
      </c>
      <c r="J103" s="84">
        <f t="shared" si="12"/>
        <v>213899.44952380951</v>
      </c>
      <c r="K103" s="79">
        <f t="shared" si="7"/>
        <v>163756.44</v>
      </c>
      <c r="L103" s="85">
        <f t="shared" si="13"/>
        <v>685.57515873015871</v>
      </c>
      <c r="M103" s="79">
        <f>+M102+F103</f>
        <v>236715.81929999997</v>
      </c>
      <c r="Q103" s="94"/>
    </row>
    <row r="104" spans="1:17" x14ac:dyDescent="0.2">
      <c r="A104" s="83">
        <v>40335</v>
      </c>
      <c r="B104" s="79">
        <v>0</v>
      </c>
      <c r="C104" s="79">
        <v>0</v>
      </c>
      <c r="D104" s="79">
        <v>3836.21</v>
      </c>
      <c r="F104" s="79">
        <f t="shared" si="8"/>
        <v>3836.21</v>
      </c>
      <c r="G104" s="79">
        <f t="shared" si="9"/>
        <v>4483.8900000000003</v>
      </c>
      <c r="H104" s="79">
        <f t="shared" si="11"/>
        <v>4204.2607692307683</v>
      </c>
      <c r="I104" s="79">
        <f>AVERAGE($F$83:F104)</f>
        <v>4100.8490909090915</v>
      </c>
      <c r="J104" s="84">
        <f t="shared" si="12"/>
        <v>213244.15272727277</v>
      </c>
      <c r="K104" s="79">
        <f t="shared" si="7"/>
        <v>165015.65</v>
      </c>
      <c r="L104" s="85">
        <f t="shared" si="13"/>
        <v>683.47484848484862</v>
      </c>
      <c r="M104" s="79">
        <f>+M103+F104</f>
        <v>240552.02929999997</v>
      </c>
      <c r="Q104" s="94"/>
    </row>
    <row r="105" spans="1:17" x14ac:dyDescent="0.2">
      <c r="A105" s="83">
        <v>40342</v>
      </c>
      <c r="B105" s="79">
        <v>0</v>
      </c>
      <c r="C105" s="79">
        <v>0</v>
      </c>
      <c r="D105" s="95">
        <v>3129.65</v>
      </c>
      <c r="F105" s="79">
        <f t="shared" si="8"/>
        <v>3129.65</v>
      </c>
      <c r="G105" s="79">
        <f t="shared" si="9"/>
        <v>4425.2475000000004</v>
      </c>
      <c r="H105" s="79">
        <f t="shared" si="11"/>
        <v>4039.2815384615387</v>
      </c>
      <c r="I105" s="79">
        <f>AVERAGE($F$83:F105)</f>
        <v>4058.623043478261</v>
      </c>
      <c r="J105" s="84">
        <f t="shared" si="12"/>
        <v>211048.39826086958</v>
      </c>
      <c r="K105" s="79">
        <f t="shared" si="7"/>
        <v>165413.32999999999</v>
      </c>
      <c r="L105" s="85">
        <f t="shared" si="13"/>
        <v>676.43717391304347</v>
      </c>
      <c r="M105" s="79">
        <f t="shared" ref="M105:M127" si="14">+M104+F105</f>
        <v>243681.67929999996</v>
      </c>
      <c r="Q105" s="94"/>
    </row>
    <row r="106" spans="1:17" x14ac:dyDescent="0.2">
      <c r="A106" s="83">
        <v>40349</v>
      </c>
      <c r="B106" s="79">
        <v>0</v>
      </c>
      <c r="C106" s="79">
        <v>0</v>
      </c>
      <c r="D106" s="95">
        <v>4265.62</v>
      </c>
      <c r="F106" s="79">
        <f t="shared" si="8"/>
        <v>4265.62</v>
      </c>
      <c r="G106" s="79">
        <f t="shared" si="9"/>
        <v>4171.7275</v>
      </c>
      <c r="H106" s="79">
        <f t="shared" si="11"/>
        <v>4082.5092307692316</v>
      </c>
      <c r="I106" s="79">
        <f>AVERAGE($F$83:F106)</f>
        <v>4067.2479166666667</v>
      </c>
      <c r="J106" s="84">
        <f t="shared" si="12"/>
        <v>211496.89166666666</v>
      </c>
      <c r="K106" s="79">
        <f t="shared" si="7"/>
        <v>167240.15999999997</v>
      </c>
      <c r="L106" s="85">
        <f t="shared" si="13"/>
        <v>677.87465277777778</v>
      </c>
      <c r="M106" s="79">
        <f t="shared" si="14"/>
        <v>247947.29929999996</v>
      </c>
      <c r="Q106" s="94"/>
    </row>
    <row r="107" spans="1:17" x14ac:dyDescent="0.2">
      <c r="A107" s="83">
        <v>40356</v>
      </c>
      <c r="B107" s="79">
        <v>0</v>
      </c>
      <c r="C107" s="79">
        <v>0</v>
      </c>
      <c r="D107" s="95">
        <v>2922.58</v>
      </c>
      <c r="E107" s="28"/>
      <c r="F107" s="79">
        <f t="shared" si="8"/>
        <v>2922.58</v>
      </c>
      <c r="G107" s="79">
        <f t="shared" si="9"/>
        <v>3538.5149999999999</v>
      </c>
      <c r="H107" s="79">
        <f t="shared" si="11"/>
        <v>4065.1184615384623</v>
      </c>
      <c r="I107" s="79">
        <f>AVERAGE($F$83:F107)</f>
        <v>4021.4611999999997</v>
      </c>
      <c r="J107" s="84">
        <f t="shared" si="12"/>
        <v>209115.98239999998</v>
      </c>
      <c r="K107" s="79">
        <f t="shared" si="7"/>
        <v>167676.85999999996</v>
      </c>
      <c r="L107" s="85">
        <f t="shared" si="13"/>
        <v>670.24353333333329</v>
      </c>
      <c r="M107" s="79">
        <f t="shared" si="14"/>
        <v>250869.87929999994</v>
      </c>
    </row>
    <row r="108" spans="1:17" x14ac:dyDescent="0.2">
      <c r="A108" s="83">
        <v>40363</v>
      </c>
      <c r="B108" s="79">
        <v>0</v>
      </c>
      <c r="C108" s="79">
        <v>0</v>
      </c>
      <c r="D108" s="95">
        <v>1534.75</v>
      </c>
      <c r="E108" s="96">
        <f>+D108*0.05</f>
        <v>76.737500000000011</v>
      </c>
      <c r="F108" s="79">
        <f t="shared" si="8"/>
        <v>1534.75</v>
      </c>
      <c r="G108" s="79">
        <f t="shared" si="9"/>
        <v>2963.15</v>
      </c>
      <c r="H108" s="79">
        <f t="shared" si="11"/>
        <v>3762.1038461538465</v>
      </c>
      <c r="I108" s="79">
        <f>AVERAGE($F$83:F108)</f>
        <v>3925.8184615384616</v>
      </c>
      <c r="J108" s="84">
        <f t="shared" si="12"/>
        <v>204142.56</v>
      </c>
      <c r="K108" s="79">
        <f t="shared" si="7"/>
        <v>167606.32999999996</v>
      </c>
      <c r="L108" s="85">
        <f t="shared" si="13"/>
        <v>654.3030769230769</v>
      </c>
      <c r="M108" s="79">
        <f t="shared" si="14"/>
        <v>252404.62929999994</v>
      </c>
    </row>
    <row r="109" spans="1:17" x14ac:dyDescent="0.2">
      <c r="A109" s="83">
        <v>40370</v>
      </c>
      <c r="B109" s="79">
        <v>0</v>
      </c>
      <c r="C109" s="79">
        <v>0</v>
      </c>
      <c r="D109" s="95">
        <v>2209.5100000000002</v>
      </c>
      <c r="E109" s="96">
        <f>+D109*0.05</f>
        <v>110.47550000000001</v>
      </c>
      <c r="F109" s="79">
        <f t="shared" si="8"/>
        <v>2209.5100000000002</v>
      </c>
      <c r="G109" s="79">
        <f t="shared" si="9"/>
        <v>2733.1150000000002</v>
      </c>
      <c r="H109" s="79">
        <f t="shared" si="11"/>
        <v>3597.7738461538465</v>
      </c>
      <c r="I109" s="79">
        <f>AVERAGE($F$83:F109)</f>
        <v>3862.2514814814813</v>
      </c>
      <c r="J109" s="84">
        <f t="shared" si="12"/>
        <v>200837.07703703703</v>
      </c>
      <c r="K109" s="79">
        <f t="shared" si="7"/>
        <v>167563.84</v>
      </c>
      <c r="L109" s="85">
        <f t="shared" si="13"/>
        <v>643.70858024691358</v>
      </c>
      <c r="M109" s="79">
        <f t="shared" si="14"/>
        <v>254614.13929999995</v>
      </c>
    </row>
    <row r="110" spans="1:17" x14ac:dyDescent="0.2">
      <c r="A110" s="83">
        <v>40377</v>
      </c>
      <c r="B110" s="79">
        <v>0</v>
      </c>
      <c r="C110" s="79">
        <v>0</v>
      </c>
      <c r="D110" s="95">
        <v>2987.53</v>
      </c>
      <c r="E110" s="96">
        <f>+D110*0.05</f>
        <v>149.37650000000002</v>
      </c>
      <c r="F110" s="79">
        <f t="shared" si="8"/>
        <v>2987.53</v>
      </c>
      <c r="G110" s="79">
        <f t="shared" si="9"/>
        <v>2413.5925000000002</v>
      </c>
      <c r="H110" s="79">
        <f t="shared" si="11"/>
        <v>3502.5276923076922</v>
      </c>
      <c r="I110" s="79">
        <f>AVERAGE($F$83:F110)</f>
        <v>3831.0114285714285</v>
      </c>
      <c r="J110" s="84">
        <f t="shared" si="12"/>
        <v>199212.59428571429</v>
      </c>
      <c r="K110" s="79">
        <f t="shared" si="7"/>
        <v>167513.40999999997</v>
      </c>
      <c r="L110" s="85">
        <f t="shared" si="13"/>
        <v>638.50190476190471</v>
      </c>
      <c r="M110" s="79">
        <f t="shared" si="14"/>
        <v>257601.66929999995</v>
      </c>
    </row>
    <row r="111" spans="1:17" x14ac:dyDescent="0.2">
      <c r="A111" s="83">
        <v>40384</v>
      </c>
      <c r="B111" s="79">
        <v>0</v>
      </c>
      <c r="C111" s="79">
        <v>0</v>
      </c>
      <c r="D111" s="95">
        <v>2576.2199999999998</v>
      </c>
      <c r="E111" s="96">
        <v>130.54</v>
      </c>
      <c r="F111" s="79">
        <f t="shared" si="8"/>
        <v>2576.2199999999998</v>
      </c>
      <c r="G111" s="79">
        <f t="shared" si="9"/>
        <v>2327.0025000000001</v>
      </c>
      <c r="H111" s="79">
        <f t="shared" si="11"/>
        <v>3365.0730769230772</v>
      </c>
      <c r="I111" s="79">
        <f>AVERAGE($F$83:F111)</f>
        <v>3787.7427586206895</v>
      </c>
      <c r="J111" s="84">
        <f t="shared" si="12"/>
        <v>196962.62344827584</v>
      </c>
      <c r="K111" s="79">
        <f t="shared" si="7"/>
        <v>168492.13999999996</v>
      </c>
      <c r="L111" s="85">
        <f t="shared" si="13"/>
        <v>631.29045977011492</v>
      </c>
      <c r="M111" s="79">
        <f t="shared" si="14"/>
        <v>260177.88929999995</v>
      </c>
    </row>
    <row r="112" spans="1:17" x14ac:dyDescent="0.2">
      <c r="A112" s="83">
        <v>40391</v>
      </c>
      <c r="B112" s="79">
        <v>0</v>
      </c>
      <c r="C112" s="79">
        <v>0</v>
      </c>
      <c r="D112" s="95">
        <v>2457.31</v>
      </c>
      <c r="E112" s="96">
        <f t="shared" ref="E112:E138" si="15">+D112*0.05</f>
        <v>122.8655</v>
      </c>
      <c r="F112" s="79">
        <f t="shared" si="8"/>
        <v>2457.31</v>
      </c>
      <c r="G112" s="79">
        <f t="shared" si="9"/>
        <v>2557.6424999999999</v>
      </c>
      <c r="H112" s="79">
        <f t="shared" si="11"/>
        <v>3352.0276923076922</v>
      </c>
      <c r="I112" s="79">
        <f>AVERAGE($F$83:F112)</f>
        <v>3743.3949999999995</v>
      </c>
      <c r="J112" s="84">
        <f t="shared" si="12"/>
        <v>194656.53999999998</v>
      </c>
      <c r="K112" s="79">
        <f t="shared" si="7"/>
        <v>167518.99999999997</v>
      </c>
      <c r="L112" s="85">
        <f t="shared" si="13"/>
        <v>623.89916666666659</v>
      </c>
      <c r="M112" s="79">
        <f t="shared" si="14"/>
        <v>262635.19929999998</v>
      </c>
    </row>
    <row r="113" spans="1:13" x14ac:dyDescent="0.2">
      <c r="A113" s="83">
        <v>40398</v>
      </c>
      <c r="B113" s="79">
        <v>0</v>
      </c>
      <c r="C113" s="79">
        <v>0</v>
      </c>
      <c r="D113" s="95">
        <v>4326.58</v>
      </c>
      <c r="E113" s="28">
        <f t="shared" si="15"/>
        <v>216.32900000000001</v>
      </c>
      <c r="F113" s="79">
        <f t="shared" si="8"/>
        <v>4326.58</v>
      </c>
      <c r="G113" s="79">
        <f t="shared" si="9"/>
        <v>3086.91</v>
      </c>
      <c r="H113" s="79">
        <f t="shared" si="11"/>
        <v>3411.1776923076927</v>
      </c>
      <c r="I113" s="79">
        <f>AVERAGE($F$83:F113)</f>
        <v>3762.2074193548383</v>
      </c>
      <c r="J113" s="84">
        <f t="shared" si="12"/>
        <v>195634.7858064516</v>
      </c>
      <c r="K113" s="79">
        <f t="shared" si="7"/>
        <v>169395.40999999997</v>
      </c>
      <c r="L113" s="85">
        <f t="shared" si="13"/>
        <v>627.03456989247309</v>
      </c>
      <c r="M113" s="79">
        <f t="shared" si="14"/>
        <v>266961.77929999999</v>
      </c>
    </row>
    <row r="114" spans="1:13" x14ac:dyDescent="0.2">
      <c r="A114" s="83">
        <v>40405</v>
      </c>
      <c r="B114" s="79">
        <v>0</v>
      </c>
      <c r="C114" s="79">
        <v>0</v>
      </c>
      <c r="D114" s="95">
        <v>3275.2</v>
      </c>
      <c r="E114" s="28">
        <f t="shared" si="15"/>
        <v>163.76</v>
      </c>
      <c r="F114" s="79">
        <f t="shared" si="8"/>
        <v>3275.2</v>
      </c>
      <c r="G114" s="79">
        <f t="shared" si="9"/>
        <v>3158.8275000000003</v>
      </c>
      <c r="H114" s="79">
        <f t="shared" si="11"/>
        <v>3404.33</v>
      </c>
      <c r="I114" s="79">
        <f>AVERAGE($F$83:F114)</f>
        <v>3746.9884374999997</v>
      </c>
      <c r="J114" s="84">
        <f t="shared" si="12"/>
        <v>194843.39874999999</v>
      </c>
      <c r="K114" s="79">
        <f t="shared" si="7"/>
        <v>170505.90999999997</v>
      </c>
      <c r="L114" s="85">
        <f t="shared" si="13"/>
        <v>624.49807291666662</v>
      </c>
      <c r="M114" s="79">
        <f t="shared" si="14"/>
        <v>270236.97930000001</v>
      </c>
    </row>
    <row r="115" spans="1:13" x14ac:dyDescent="0.2">
      <c r="A115" s="83">
        <v>40412</v>
      </c>
      <c r="B115" s="79">
        <v>0</v>
      </c>
      <c r="C115" s="79">
        <v>0</v>
      </c>
      <c r="D115" s="95">
        <v>3181.78</v>
      </c>
      <c r="E115" s="28">
        <f t="shared" si="15"/>
        <v>159.08900000000003</v>
      </c>
      <c r="F115" s="79">
        <f t="shared" si="8"/>
        <v>3181.78</v>
      </c>
      <c r="G115" s="79">
        <f t="shared" si="9"/>
        <v>3310.2175000000002</v>
      </c>
      <c r="H115" s="79">
        <f t="shared" si="11"/>
        <v>3242.9515384615379</v>
      </c>
      <c r="I115" s="79">
        <f>AVERAGE($F$83:F115)</f>
        <v>3729.8609090909085</v>
      </c>
      <c r="J115" s="84">
        <f t="shared" si="12"/>
        <v>193952.76727272724</v>
      </c>
      <c r="K115" s="79">
        <f t="shared" si="7"/>
        <v>171763.43999999997</v>
      </c>
      <c r="L115" s="85">
        <f t="shared" si="13"/>
        <v>621.64348484848472</v>
      </c>
      <c r="M115" s="79">
        <f t="shared" si="14"/>
        <v>273418.75930000003</v>
      </c>
    </row>
    <row r="116" spans="1:13" x14ac:dyDescent="0.2">
      <c r="A116" s="83">
        <v>40419</v>
      </c>
      <c r="B116" s="79">
        <v>0</v>
      </c>
      <c r="C116" s="79">
        <v>0</v>
      </c>
      <c r="D116" s="95">
        <v>4100.95</v>
      </c>
      <c r="E116" s="28">
        <f t="shared" si="15"/>
        <v>205.04750000000001</v>
      </c>
      <c r="F116" s="79">
        <f t="shared" si="8"/>
        <v>4100.95</v>
      </c>
      <c r="G116" s="79">
        <f t="shared" si="9"/>
        <v>3721.1274999999996</v>
      </c>
      <c r="H116" s="79">
        <f t="shared" si="11"/>
        <v>3138.7607692307688</v>
      </c>
      <c r="I116" s="79">
        <f>AVERAGE($F$83:F116)</f>
        <v>3740.7752941176468</v>
      </c>
      <c r="J116" s="84">
        <f t="shared" si="12"/>
        <v>194520.31529411764</v>
      </c>
      <c r="K116" s="79">
        <f t="shared" si="7"/>
        <v>172409.43</v>
      </c>
      <c r="L116" s="85">
        <f t="shared" si="13"/>
        <v>623.46254901960776</v>
      </c>
      <c r="M116" s="79">
        <f t="shared" si="14"/>
        <v>277519.70930000005</v>
      </c>
    </row>
    <row r="117" spans="1:13" x14ac:dyDescent="0.2">
      <c r="A117" s="83">
        <v>40426</v>
      </c>
      <c r="B117" s="79">
        <v>0</v>
      </c>
      <c r="C117" s="79">
        <v>0</v>
      </c>
      <c r="D117" s="95">
        <v>3400.43</v>
      </c>
      <c r="E117" s="28">
        <f t="shared" si="15"/>
        <v>170.0215</v>
      </c>
      <c r="F117" s="79">
        <f t="shared" si="8"/>
        <v>3400.43</v>
      </c>
      <c r="G117" s="79">
        <f t="shared" si="9"/>
        <v>3489.59</v>
      </c>
      <c r="H117" s="79">
        <f t="shared" si="11"/>
        <v>3105.2392307692307</v>
      </c>
      <c r="I117" s="79">
        <f>AVERAGE($F$83:F117)</f>
        <v>3731.0511428571422</v>
      </c>
      <c r="J117" s="84">
        <f t="shared" si="12"/>
        <v>194014.65942857138</v>
      </c>
      <c r="K117" s="79">
        <f t="shared" si="7"/>
        <v>173656.21</v>
      </c>
      <c r="L117" s="85">
        <f t="shared" si="13"/>
        <v>621.84185714285707</v>
      </c>
      <c r="M117" s="79">
        <f t="shared" si="14"/>
        <v>280920.13930000004</v>
      </c>
    </row>
    <row r="118" spans="1:13" x14ac:dyDescent="0.2">
      <c r="A118" s="83">
        <v>40433</v>
      </c>
      <c r="B118" s="79">
        <v>0</v>
      </c>
      <c r="C118" s="79">
        <v>0</v>
      </c>
      <c r="D118" s="95">
        <v>3346.62</v>
      </c>
      <c r="E118" s="28">
        <f t="shared" si="15"/>
        <v>167.33100000000002</v>
      </c>
      <c r="F118" s="79">
        <f t="shared" si="8"/>
        <v>3346.62</v>
      </c>
      <c r="G118" s="79">
        <f t="shared" si="9"/>
        <v>3507.4449999999997</v>
      </c>
      <c r="H118" s="79">
        <f t="shared" si="11"/>
        <v>3121.9292307692313</v>
      </c>
      <c r="I118" s="79">
        <f>AVERAGE($F$83:F118)</f>
        <v>3720.3724999999995</v>
      </c>
      <c r="J118" s="84">
        <f t="shared" si="12"/>
        <v>193459.36999999997</v>
      </c>
      <c r="K118" s="79">
        <f t="shared" si="7"/>
        <v>174676.31000000003</v>
      </c>
      <c r="L118" s="85">
        <f t="shared" si="13"/>
        <v>620.06208333333325</v>
      </c>
      <c r="M118" s="79">
        <f t="shared" si="14"/>
        <v>284266.75930000003</v>
      </c>
    </row>
    <row r="119" spans="1:13" x14ac:dyDescent="0.2">
      <c r="A119" s="83">
        <v>40440</v>
      </c>
      <c r="B119" s="79">
        <v>0</v>
      </c>
      <c r="C119" s="79">
        <v>0</v>
      </c>
      <c r="D119" s="95">
        <v>3692.52</v>
      </c>
      <c r="E119" s="28">
        <f t="shared" si="15"/>
        <v>184.626</v>
      </c>
      <c r="F119" s="79">
        <f t="shared" si="8"/>
        <v>3692.52</v>
      </c>
      <c r="G119" s="79">
        <f t="shared" si="9"/>
        <v>3635.13</v>
      </c>
      <c r="H119" s="79">
        <f t="shared" si="11"/>
        <v>3077.8446153846153</v>
      </c>
      <c r="I119" s="79">
        <f>AVERAGE($F$83:F119)</f>
        <v>3719.6197297297285</v>
      </c>
      <c r="J119" s="84">
        <f t="shared" si="12"/>
        <v>193420.22594594589</v>
      </c>
      <c r="K119" s="79">
        <f t="shared" ref="K119:K182" si="16">SUM(F68:F119)</f>
        <v>175486.83000000002</v>
      </c>
      <c r="L119" s="85">
        <f t="shared" si="13"/>
        <v>619.93662162162138</v>
      </c>
      <c r="M119" s="79">
        <f t="shared" si="14"/>
        <v>287959.27930000005</v>
      </c>
    </row>
    <row r="120" spans="1:13" x14ac:dyDescent="0.2">
      <c r="A120" s="83">
        <v>40447</v>
      </c>
      <c r="B120" s="79">
        <v>0</v>
      </c>
      <c r="C120" s="79">
        <v>0</v>
      </c>
      <c r="D120" s="95">
        <v>2630.5</v>
      </c>
      <c r="E120" s="28">
        <f t="shared" si="15"/>
        <v>131.52500000000001</v>
      </c>
      <c r="F120" s="79">
        <f t="shared" si="8"/>
        <v>2630.5</v>
      </c>
      <c r="G120" s="79">
        <f t="shared" si="9"/>
        <v>3267.5174999999999</v>
      </c>
      <c r="H120" s="79">
        <f t="shared" si="11"/>
        <v>3055.3769230769226</v>
      </c>
      <c r="I120" s="79">
        <f>AVERAGE($F$83:F120)</f>
        <v>3690.9586842105255</v>
      </c>
      <c r="J120" s="84">
        <f t="shared" si="12"/>
        <v>191929.85157894733</v>
      </c>
      <c r="K120" s="79">
        <f t="shared" si="16"/>
        <v>176145.05000000002</v>
      </c>
      <c r="L120" s="85">
        <f t="shared" si="13"/>
        <v>615.15978070175424</v>
      </c>
      <c r="M120" s="79">
        <f t="shared" si="14"/>
        <v>290589.77930000005</v>
      </c>
    </row>
    <row r="121" spans="1:13" x14ac:dyDescent="0.2">
      <c r="A121" s="83">
        <v>40454</v>
      </c>
      <c r="B121" s="79">
        <v>0</v>
      </c>
      <c r="C121" s="79">
        <v>0</v>
      </c>
      <c r="D121" s="95">
        <v>3903.28</v>
      </c>
      <c r="E121" s="28">
        <f t="shared" si="15"/>
        <v>195.16400000000002</v>
      </c>
      <c r="F121" s="79">
        <f t="shared" si="8"/>
        <v>3903.28</v>
      </c>
      <c r="G121" s="79">
        <f t="shared" si="9"/>
        <v>3393.23</v>
      </c>
      <c r="H121" s="79">
        <f t="shared" si="11"/>
        <v>3237.5715384615378</v>
      </c>
      <c r="I121" s="79">
        <f>AVERAGE($F$83:F121)</f>
        <v>3696.4028205128197</v>
      </c>
      <c r="J121" s="84">
        <f t="shared" si="12"/>
        <v>192212.94666666663</v>
      </c>
      <c r="K121" s="79">
        <f t="shared" si="16"/>
        <v>175590.39</v>
      </c>
      <c r="L121" s="85">
        <f t="shared" si="13"/>
        <v>616.06713675213666</v>
      </c>
      <c r="M121" s="79">
        <f t="shared" si="14"/>
        <v>294493.05930000008</v>
      </c>
    </row>
    <row r="122" spans="1:13" x14ac:dyDescent="0.2">
      <c r="A122" s="83">
        <v>40461</v>
      </c>
      <c r="B122" s="79">
        <v>0</v>
      </c>
      <c r="C122" s="79">
        <v>0</v>
      </c>
      <c r="D122" s="95">
        <v>5530.74</v>
      </c>
      <c r="E122" s="28">
        <f t="shared" si="15"/>
        <v>276.53699999999998</v>
      </c>
      <c r="F122" s="79">
        <f t="shared" si="8"/>
        <v>5530.74</v>
      </c>
      <c r="G122" s="79">
        <f t="shared" si="9"/>
        <v>3939.26</v>
      </c>
      <c r="H122" s="79">
        <f t="shared" si="11"/>
        <v>3493.0507692307688</v>
      </c>
      <c r="I122" s="79">
        <f>AVERAGE($F$83:F122)</f>
        <v>3742.2612499999987</v>
      </c>
      <c r="J122" s="84">
        <f t="shared" si="12"/>
        <v>194597.58499999993</v>
      </c>
      <c r="K122" s="79">
        <f t="shared" si="16"/>
        <v>177389.44</v>
      </c>
      <c r="L122" s="85">
        <f t="shared" si="13"/>
        <v>623.71020833333307</v>
      </c>
      <c r="M122" s="79">
        <f t="shared" si="14"/>
        <v>300023.79930000007</v>
      </c>
    </row>
    <row r="123" spans="1:13" x14ac:dyDescent="0.2">
      <c r="A123" s="83">
        <v>40468</v>
      </c>
      <c r="B123" s="79">
        <v>0</v>
      </c>
      <c r="C123" s="79">
        <v>0</v>
      </c>
      <c r="D123" s="95">
        <v>3259.31</v>
      </c>
      <c r="E123" s="28">
        <f t="shared" si="15"/>
        <v>162.96550000000002</v>
      </c>
      <c r="F123" s="79">
        <f t="shared" si="8"/>
        <v>3259.31</v>
      </c>
      <c r="G123" s="79">
        <f t="shared" si="9"/>
        <v>3830.9575</v>
      </c>
      <c r="H123" s="79">
        <f t="shared" si="11"/>
        <v>3513.9569230769225</v>
      </c>
      <c r="I123" s="79">
        <f>AVERAGE($F$83:F123)</f>
        <v>3730.4819512195108</v>
      </c>
      <c r="J123" s="84">
        <f t="shared" si="12"/>
        <v>193985.06146341457</v>
      </c>
      <c r="K123" s="79">
        <f t="shared" si="16"/>
        <v>178395.59</v>
      </c>
      <c r="L123" s="85">
        <f t="shared" si="13"/>
        <v>621.74699186991847</v>
      </c>
      <c r="M123" s="79">
        <f t="shared" si="14"/>
        <v>303283.10930000007</v>
      </c>
    </row>
    <row r="124" spans="1:13" x14ac:dyDescent="0.2">
      <c r="A124" s="83">
        <v>40475</v>
      </c>
      <c r="B124" s="79">
        <v>0</v>
      </c>
      <c r="C124" s="79">
        <v>0</v>
      </c>
      <c r="D124" s="95">
        <v>2157.36</v>
      </c>
      <c r="E124" s="28">
        <f t="shared" si="15"/>
        <v>107.86800000000001</v>
      </c>
      <c r="F124" s="79">
        <f t="shared" si="8"/>
        <v>2157.36</v>
      </c>
      <c r="G124" s="79">
        <f t="shared" si="9"/>
        <v>3712.6725000000001</v>
      </c>
      <c r="H124" s="79">
        <f t="shared" si="11"/>
        <v>3481.7369230769227</v>
      </c>
      <c r="I124" s="79">
        <f>AVERAGE($F$83:F124)</f>
        <v>3693.0266666666653</v>
      </c>
      <c r="J124" s="84">
        <f t="shared" si="12"/>
        <v>192037.3866666666</v>
      </c>
      <c r="K124" s="79">
        <f t="shared" si="16"/>
        <v>178977.94999999998</v>
      </c>
      <c r="L124" s="85">
        <f t="shared" si="13"/>
        <v>615.50444444444418</v>
      </c>
      <c r="M124" s="79">
        <f t="shared" si="14"/>
        <v>305440.46930000006</v>
      </c>
    </row>
    <row r="125" spans="1:13" x14ac:dyDescent="0.2">
      <c r="A125" s="83">
        <v>40482</v>
      </c>
      <c r="B125" s="79">
        <v>0</v>
      </c>
      <c r="C125" s="79">
        <v>0</v>
      </c>
      <c r="D125" s="95">
        <v>3669.93</v>
      </c>
      <c r="E125" s="28">
        <f t="shared" si="15"/>
        <v>183.4965</v>
      </c>
      <c r="F125" s="79">
        <f t="shared" si="8"/>
        <v>3669.93</v>
      </c>
      <c r="G125" s="79">
        <f t="shared" si="9"/>
        <v>3654.335</v>
      </c>
      <c r="H125" s="79">
        <f t="shared" si="11"/>
        <v>3575.0153846153844</v>
      </c>
      <c r="I125" s="79">
        <f>AVERAGE($F$83:F125)</f>
        <v>3692.4895348837194</v>
      </c>
      <c r="J125" s="84">
        <f t="shared" si="12"/>
        <v>192009.45581395342</v>
      </c>
      <c r="K125" s="79">
        <f t="shared" si="16"/>
        <v>180842.01999999993</v>
      </c>
      <c r="L125" s="85">
        <f t="shared" si="13"/>
        <v>615.41492248061991</v>
      </c>
      <c r="M125" s="79">
        <f t="shared" si="14"/>
        <v>309110.39930000005</v>
      </c>
    </row>
    <row r="126" spans="1:13" x14ac:dyDescent="0.2">
      <c r="A126" s="83">
        <v>40489</v>
      </c>
      <c r="B126" s="79">
        <v>0</v>
      </c>
      <c r="C126" s="79">
        <v>0</v>
      </c>
      <c r="D126" s="95">
        <v>2114.36</v>
      </c>
      <c r="E126" s="28">
        <f t="shared" si="15"/>
        <v>105.71800000000002</v>
      </c>
      <c r="F126" s="79">
        <f t="shared" si="8"/>
        <v>2114.36</v>
      </c>
      <c r="G126" s="79">
        <f t="shared" si="9"/>
        <v>2800.2400000000002</v>
      </c>
      <c r="H126" s="79">
        <f t="shared" si="11"/>
        <v>3404.8446153846153</v>
      </c>
      <c r="I126" s="79">
        <f>AVERAGE($F$83:F126)</f>
        <v>3656.6229545454526</v>
      </c>
      <c r="J126" s="84">
        <f t="shared" si="12"/>
        <v>190144.39363636353</v>
      </c>
      <c r="K126" s="79">
        <f t="shared" si="16"/>
        <v>179656.72999999995</v>
      </c>
      <c r="L126" s="85">
        <f t="shared" si="13"/>
        <v>609.43715909090872</v>
      </c>
      <c r="M126" s="79">
        <f t="shared" si="14"/>
        <v>311224.75930000003</v>
      </c>
    </row>
    <row r="127" spans="1:13" x14ac:dyDescent="0.2">
      <c r="A127" s="83">
        <v>40496</v>
      </c>
      <c r="B127" s="79">
        <v>0</v>
      </c>
      <c r="C127" s="79">
        <v>0</v>
      </c>
      <c r="D127" s="95">
        <v>3646.14</v>
      </c>
      <c r="E127" s="28">
        <f t="shared" si="15"/>
        <v>182.30700000000002</v>
      </c>
      <c r="F127" s="79">
        <f t="shared" si="8"/>
        <v>3646.14</v>
      </c>
      <c r="G127" s="79">
        <f t="shared" si="9"/>
        <v>2896.9474999999998</v>
      </c>
      <c r="H127" s="79">
        <f t="shared" si="11"/>
        <v>3433.3784615384616</v>
      </c>
      <c r="I127" s="79">
        <f>AVERAGE($F$83:F127)</f>
        <v>3656.3899999999985</v>
      </c>
      <c r="J127" s="84">
        <f t="shared" si="12"/>
        <v>190132.27999999991</v>
      </c>
      <c r="K127" s="79">
        <f t="shared" si="16"/>
        <v>180593.37999999998</v>
      </c>
      <c r="L127" s="85">
        <f t="shared" si="13"/>
        <v>609.39833333333308</v>
      </c>
      <c r="M127" s="79">
        <f t="shared" si="14"/>
        <v>314870.89930000005</v>
      </c>
    </row>
    <row r="128" spans="1:13" x14ac:dyDescent="0.2">
      <c r="A128" s="83">
        <v>40503</v>
      </c>
      <c r="B128" s="79">
        <v>0</v>
      </c>
      <c r="C128" s="79">
        <v>0</v>
      </c>
      <c r="D128" s="95">
        <v>5079.34</v>
      </c>
      <c r="E128" s="28">
        <f t="shared" si="15"/>
        <v>253.96700000000001</v>
      </c>
      <c r="F128" s="79">
        <f t="shared" si="8"/>
        <v>5079.34</v>
      </c>
      <c r="G128" s="79">
        <f t="shared" si="9"/>
        <v>3627.4425000000001</v>
      </c>
      <c r="H128" s="79">
        <f t="shared" si="11"/>
        <v>3579.3446153846153</v>
      </c>
      <c r="I128" s="79">
        <f>AVERAGE($F$83:F128)</f>
        <v>3687.3236956521723</v>
      </c>
      <c r="J128" s="84">
        <f t="shared" si="12"/>
        <v>191740.83217391296</v>
      </c>
      <c r="K128" s="79">
        <f t="shared" si="16"/>
        <v>183229.82999999996</v>
      </c>
      <c r="L128" s="85">
        <f t="shared" si="13"/>
        <v>614.55394927536202</v>
      </c>
      <c r="M128" s="79">
        <f>+M127+F128</f>
        <v>319950.23930000007</v>
      </c>
    </row>
    <row r="129" spans="1:19" x14ac:dyDescent="0.2">
      <c r="A129" s="83">
        <v>40510</v>
      </c>
      <c r="B129" s="79">
        <v>0</v>
      </c>
      <c r="C129" s="79">
        <v>0</v>
      </c>
      <c r="D129" s="95">
        <v>2977.4</v>
      </c>
      <c r="E129" s="28">
        <f t="shared" si="15"/>
        <v>148.87</v>
      </c>
      <c r="F129" s="79">
        <f t="shared" si="8"/>
        <v>2977.4</v>
      </c>
      <c r="G129" s="79">
        <f t="shared" si="9"/>
        <v>3454.31</v>
      </c>
      <c r="H129" s="79">
        <f t="shared" si="11"/>
        <v>3492.9176923076925</v>
      </c>
      <c r="I129" s="79">
        <f>AVERAGE($F$83:F129)</f>
        <v>3672.2189361702112</v>
      </c>
      <c r="J129" s="84">
        <f t="shared" si="12"/>
        <v>190955.38468085098</v>
      </c>
      <c r="K129" s="79">
        <f t="shared" si="16"/>
        <v>184185.52999999997</v>
      </c>
      <c r="L129" s="85">
        <f t="shared" si="13"/>
        <v>612.03648936170191</v>
      </c>
      <c r="M129" s="79">
        <f>+M128+F129</f>
        <v>322927.6393000001</v>
      </c>
    </row>
    <row r="130" spans="1:19" x14ac:dyDescent="0.2">
      <c r="A130" s="83">
        <v>40517</v>
      </c>
      <c r="B130" s="79">
        <v>0</v>
      </c>
      <c r="C130" s="79">
        <v>0</v>
      </c>
      <c r="D130" s="95">
        <v>2337.9</v>
      </c>
      <c r="E130" s="28">
        <f t="shared" si="15"/>
        <v>116.89500000000001</v>
      </c>
      <c r="F130" s="79">
        <f t="shared" si="8"/>
        <v>2337.9</v>
      </c>
      <c r="G130" s="79">
        <f t="shared" si="9"/>
        <v>3510.1949999999997</v>
      </c>
      <c r="H130" s="79">
        <f t="shared" si="11"/>
        <v>3411.1846153846159</v>
      </c>
      <c r="I130" s="79">
        <f>AVERAGE($F$83:F130)</f>
        <v>3644.4206249999984</v>
      </c>
      <c r="J130" s="84">
        <f t="shared" si="12"/>
        <v>189509.87249999991</v>
      </c>
      <c r="K130" s="79">
        <f t="shared" si="16"/>
        <v>184288.95999999996</v>
      </c>
      <c r="L130" s="85">
        <f t="shared" si="13"/>
        <v>607.40343749999977</v>
      </c>
      <c r="M130" s="79">
        <f>+M129+F130</f>
        <v>325265.53930000012</v>
      </c>
    </row>
    <row r="131" spans="1:19" x14ac:dyDescent="0.2">
      <c r="A131" s="83">
        <v>40524</v>
      </c>
      <c r="B131" s="79">
        <v>0</v>
      </c>
      <c r="C131" s="79">
        <v>0</v>
      </c>
      <c r="D131" s="95">
        <v>2549.14</v>
      </c>
      <c r="E131" s="28">
        <f t="shared" si="15"/>
        <v>127.45699999999999</v>
      </c>
      <c r="F131" s="79">
        <f t="shared" si="8"/>
        <v>2549.14</v>
      </c>
      <c r="G131" s="79">
        <f t="shared" si="9"/>
        <v>3235.9449999999997</v>
      </c>
      <c r="H131" s="79">
        <f t="shared" si="11"/>
        <v>3349.8400000000006</v>
      </c>
      <c r="I131" s="79">
        <f>AVERAGE($F$83:F131)</f>
        <v>3622.067959183672</v>
      </c>
      <c r="J131" s="84">
        <f t="shared" si="12"/>
        <v>188347.53387755094</v>
      </c>
      <c r="K131" s="79">
        <f t="shared" si="16"/>
        <v>185298.66999999993</v>
      </c>
      <c r="L131" s="85">
        <f t="shared" si="13"/>
        <v>603.67799319727862</v>
      </c>
      <c r="M131" s="79">
        <f t="shared" ref="M131:M156" si="17">+M130+F131</f>
        <v>327814.67930000013</v>
      </c>
    </row>
    <row r="132" spans="1:19" x14ac:dyDescent="0.2">
      <c r="A132" s="83">
        <v>40531</v>
      </c>
      <c r="B132" s="79">
        <v>0</v>
      </c>
      <c r="C132" s="79">
        <v>0</v>
      </c>
      <c r="D132" s="95">
        <v>2221.3000000000002</v>
      </c>
      <c r="E132" s="97">
        <f t="shared" si="15"/>
        <v>111.06500000000001</v>
      </c>
      <c r="F132" s="79">
        <f t="shared" ref="F132:F195" si="18">SUM(B132:D132)</f>
        <v>2221.3000000000002</v>
      </c>
      <c r="G132" s="79">
        <f t="shared" si="9"/>
        <v>2521.4350000000004</v>
      </c>
      <c r="H132" s="79">
        <f t="shared" si="11"/>
        <v>3236.669230769231</v>
      </c>
      <c r="I132" s="79">
        <f>AVERAGE($F$83:F132)</f>
        <v>3594.0525999999982</v>
      </c>
      <c r="J132" s="84">
        <f t="shared" si="12"/>
        <v>186890.73519999991</v>
      </c>
      <c r="K132" s="79">
        <f t="shared" si="16"/>
        <v>185763.87999999992</v>
      </c>
      <c r="L132" s="85">
        <f t="shared" si="13"/>
        <v>599.00876666666636</v>
      </c>
      <c r="M132" s="79">
        <f t="shared" si="17"/>
        <v>330035.97930000012</v>
      </c>
    </row>
    <row r="133" spans="1:19" x14ac:dyDescent="0.2">
      <c r="A133" s="83">
        <v>40538</v>
      </c>
      <c r="B133" s="79">
        <v>0</v>
      </c>
      <c r="C133" s="79">
        <v>0</v>
      </c>
      <c r="D133" s="95">
        <v>2986.06</v>
      </c>
      <c r="E133" s="28">
        <f t="shared" si="15"/>
        <v>149.303</v>
      </c>
      <c r="F133" s="79">
        <f t="shared" si="18"/>
        <v>2986.06</v>
      </c>
      <c r="G133" s="79">
        <f t="shared" si="9"/>
        <v>2523.6</v>
      </c>
      <c r="H133" s="79">
        <f t="shared" si="11"/>
        <v>3264.02</v>
      </c>
      <c r="I133" s="79">
        <f>AVERAGE($F$83:F133)</f>
        <v>3582.1311764705865</v>
      </c>
      <c r="J133" s="84">
        <f t="shared" si="12"/>
        <v>186270.82117647049</v>
      </c>
      <c r="K133" s="91">
        <f t="shared" si="16"/>
        <v>186721.66999999993</v>
      </c>
      <c r="L133" s="25">
        <f t="shared" si="13"/>
        <v>597.02186274509779</v>
      </c>
      <c r="M133" s="79">
        <f t="shared" si="17"/>
        <v>333022.03930000012</v>
      </c>
    </row>
    <row r="134" spans="1:19" x14ac:dyDescent="0.2">
      <c r="A134" s="83">
        <v>40545</v>
      </c>
      <c r="B134" s="79">
        <v>0</v>
      </c>
      <c r="C134" s="79">
        <v>0</v>
      </c>
      <c r="D134" s="95">
        <v>1797.27</v>
      </c>
      <c r="E134" s="28">
        <f t="shared" si="15"/>
        <v>89.863500000000002</v>
      </c>
      <c r="F134" s="79">
        <f t="shared" si="18"/>
        <v>1797.27</v>
      </c>
      <c r="G134" s="79">
        <f t="shared" si="9"/>
        <v>2388.4425000000001</v>
      </c>
      <c r="H134" s="79">
        <f t="shared" si="11"/>
        <v>3102.0192307692309</v>
      </c>
      <c r="I134" s="79">
        <f>AVERAGE($F$83:F134)</f>
        <v>3547.8069230769211</v>
      </c>
      <c r="J134" s="84">
        <f t="shared" si="12"/>
        <v>184485.9599999999</v>
      </c>
      <c r="K134" s="92">
        <f t="shared" si="16"/>
        <v>184485.9599999999</v>
      </c>
      <c r="L134" s="93">
        <f t="shared" si="13"/>
        <v>591.30115384615351</v>
      </c>
      <c r="M134" s="79">
        <f t="shared" si="17"/>
        <v>334819.30930000014</v>
      </c>
      <c r="S134" s="98"/>
    </row>
    <row r="135" spans="1:19" x14ac:dyDescent="0.2">
      <c r="A135" s="83">
        <v>40552</v>
      </c>
      <c r="B135" s="79">
        <v>0</v>
      </c>
      <c r="C135" s="79">
        <v>0</v>
      </c>
      <c r="D135" s="95">
        <v>3639.67</v>
      </c>
      <c r="E135" s="28">
        <f t="shared" si="15"/>
        <v>181.98350000000002</v>
      </c>
      <c r="F135" s="79">
        <f t="shared" si="18"/>
        <v>3639.67</v>
      </c>
      <c r="G135" s="79">
        <f t="shared" ref="G135:G198" si="19">AVERAGE(F132:F135)</f>
        <v>2661.0750000000003</v>
      </c>
      <c r="H135" s="79">
        <f t="shared" si="11"/>
        <v>2956.5523076923077</v>
      </c>
      <c r="I135" s="79">
        <f>AVERAGE($F$135:F135)</f>
        <v>3639.67</v>
      </c>
      <c r="J135" s="84">
        <f t="shared" si="12"/>
        <v>189262.84</v>
      </c>
      <c r="K135" s="79">
        <f t="shared" si="16"/>
        <v>186930.94999999992</v>
      </c>
      <c r="L135" s="85">
        <f t="shared" si="13"/>
        <v>606.61166666666668</v>
      </c>
      <c r="M135" s="79">
        <f t="shared" si="17"/>
        <v>338458.97930000012</v>
      </c>
    </row>
    <row r="136" spans="1:19" x14ac:dyDescent="0.2">
      <c r="A136" s="83">
        <v>40559</v>
      </c>
      <c r="B136" s="79">
        <v>0</v>
      </c>
      <c r="C136" s="79">
        <v>0</v>
      </c>
      <c r="D136" s="95">
        <v>2208.2199999999998</v>
      </c>
      <c r="E136" s="28">
        <f t="shared" si="15"/>
        <v>110.411</v>
      </c>
      <c r="F136" s="79">
        <f t="shared" si="18"/>
        <v>2208.2199999999998</v>
      </c>
      <c r="G136" s="79">
        <f t="shared" si="19"/>
        <v>2657.8049999999998</v>
      </c>
      <c r="H136" s="79">
        <f t="shared" si="11"/>
        <v>2875.6992307692312</v>
      </c>
      <c r="I136" s="79">
        <f>AVERAGE($F$135:F136)</f>
        <v>2923.9449999999997</v>
      </c>
      <c r="J136" s="84">
        <f t="shared" si="12"/>
        <v>152045.13999999998</v>
      </c>
      <c r="K136" s="79">
        <f t="shared" si="16"/>
        <v>186657.73999999993</v>
      </c>
      <c r="L136" s="85">
        <f t="shared" si="13"/>
        <v>487.3241666666666</v>
      </c>
      <c r="M136" s="79">
        <f t="shared" si="17"/>
        <v>340667.19930000009</v>
      </c>
    </row>
    <row r="137" spans="1:19" x14ac:dyDescent="0.2">
      <c r="A137" s="83">
        <v>40566</v>
      </c>
      <c r="B137" s="79">
        <v>0</v>
      </c>
      <c r="C137" s="79">
        <v>0</v>
      </c>
      <c r="D137" s="95">
        <v>2076.41</v>
      </c>
      <c r="E137" s="97">
        <f t="shared" si="15"/>
        <v>103.8205</v>
      </c>
      <c r="F137" s="79">
        <f t="shared" si="18"/>
        <v>2076.41</v>
      </c>
      <c r="G137" s="79">
        <f t="shared" si="19"/>
        <v>2430.3924999999999</v>
      </c>
      <c r="H137" s="79">
        <f t="shared" si="11"/>
        <v>2869.4723076923078</v>
      </c>
      <c r="I137" s="79">
        <f>AVERAGE($F$135:F137)</f>
        <v>2641.4333333333329</v>
      </c>
      <c r="J137" s="84">
        <f t="shared" si="12"/>
        <v>137354.53333333333</v>
      </c>
      <c r="K137" s="79">
        <f t="shared" si="16"/>
        <v>184249.34999999992</v>
      </c>
      <c r="L137" s="85">
        <f t="shared" si="13"/>
        <v>440.23888888888882</v>
      </c>
      <c r="M137" s="79">
        <f t="shared" si="17"/>
        <v>342743.60930000007</v>
      </c>
    </row>
    <row r="138" spans="1:19" x14ac:dyDescent="0.2">
      <c r="A138" s="83">
        <v>40573</v>
      </c>
      <c r="B138" s="79">
        <v>0</v>
      </c>
      <c r="C138" s="79">
        <v>0</v>
      </c>
      <c r="D138" s="95">
        <v>4529.95</v>
      </c>
      <c r="E138" s="28">
        <f t="shared" si="15"/>
        <v>226.4975</v>
      </c>
      <c r="F138" s="79">
        <f t="shared" si="18"/>
        <v>4529.95</v>
      </c>
      <c r="G138" s="79">
        <f t="shared" si="19"/>
        <v>3113.5625</v>
      </c>
      <c r="H138" s="79">
        <f t="shared" si="11"/>
        <v>2935.6276923076925</v>
      </c>
      <c r="I138" s="79">
        <f>AVERAGE($F$135:F138)</f>
        <v>3113.5625</v>
      </c>
      <c r="J138" s="84">
        <f t="shared" si="12"/>
        <v>161905.25</v>
      </c>
      <c r="K138" s="79">
        <f t="shared" si="16"/>
        <v>185162.98999999996</v>
      </c>
      <c r="L138" s="85">
        <f t="shared" si="13"/>
        <v>518.92708333333337</v>
      </c>
      <c r="M138" s="79">
        <f t="shared" si="17"/>
        <v>347273.55930000008</v>
      </c>
    </row>
    <row r="139" spans="1:19" x14ac:dyDescent="0.2">
      <c r="A139" s="83">
        <v>40580</v>
      </c>
      <c r="B139" s="79">
        <v>0</v>
      </c>
      <c r="C139" s="79">
        <v>0</v>
      </c>
      <c r="D139" s="95">
        <v>3106.23</v>
      </c>
      <c r="E139" s="97">
        <f>(+D139*0.05)-18.9</f>
        <v>136.41150000000002</v>
      </c>
      <c r="F139" s="79">
        <f t="shared" si="18"/>
        <v>3106.23</v>
      </c>
      <c r="G139" s="79">
        <f t="shared" si="19"/>
        <v>2980.2024999999994</v>
      </c>
      <c r="H139" s="79">
        <f t="shared" si="11"/>
        <v>3011.9253846153852</v>
      </c>
      <c r="I139" s="79">
        <f>AVERAGE($F$135:F139)</f>
        <v>3112.096</v>
      </c>
      <c r="J139" s="84">
        <f t="shared" si="12"/>
        <v>161828.992</v>
      </c>
      <c r="K139" s="79">
        <f t="shared" si="16"/>
        <v>184451.67999999996</v>
      </c>
      <c r="L139" s="85">
        <f t="shared" si="13"/>
        <v>518.68266666666671</v>
      </c>
      <c r="M139" s="79">
        <f t="shared" si="17"/>
        <v>350379.78930000006</v>
      </c>
    </row>
    <row r="140" spans="1:19" x14ac:dyDescent="0.2">
      <c r="A140" s="83">
        <v>40587</v>
      </c>
      <c r="B140" s="79">
        <v>0</v>
      </c>
      <c r="C140" s="79">
        <v>0</v>
      </c>
      <c r="D140" s="95">
        <v>3798.56</v>
      </c>
      <c r="E140" s="28">
        <f>+D140*0.05</f>
        <v>189.928</v>
      </c>
      <c r="F140" s="79">
        <f t="shared" si="18"/>
        <v>3798.56</v>
      </c>
      <c r="G140" s="79">
        <f t="shared" si="19"/>
        <v>3377.7874999999999</v>
      </c>
      <c r="H140" s="79">
        <f t="shared" si="11"/>
        <v>3023.6500000000005</v>
      </c>
      <c r="I140" s="79">
        <f>AVERAGE($F$135:F140)</f>
        <v>3226.5066666666667</v>
      </c>
      <c r="J140" s="84">
        <f t="shared" si="12"/>
        <v>167778.34666666668</v>
      </c>
      <c r="K140" s="79">
        <f t="shared" si="16"/>
        <v>183728.90999999997</v>
      </c>
      <c r="L140" s="85">
        <f t="shared" si="13"/>
        <v>537.75111111111107</v>
      </c>
      <c r="M140" s="79">
        <f t="shared" si="17"/>
        <v>354178.34930000006</v>
      </c>
    </row>
    <row r="141" spans="1:19" x14ac:dyDescent="0.2">
      <c r="A141" s="83">
        <v>40594</v>
      </c>
      <c r="B141" s="79">
        <v>0</v>
      </c>
      <c r="C141" s="79">
        <v>0</v>
      </c>
      <c r="D141" s="95">
        <v>5387.82</v>
      </c>
      <c r="E141" s="28">
        <f>+D141*0.05</f>
        <v>269.39100000000002</v>
      </c>
      <c r="F141" s="79">
        <f t="shared" si="18"/>
        <v>5387.82</v>
      </c>
      <c r="G141" s="79">
        <f t="shared" si="19"/>
        <v>4205.6399999999994</v>
      </c>
      <c r="H141" s="79">
        <f t="shared" si="11"/>
        <v>3047.3792307692306</v>
      </c>
      <c r="I141" s="79">
        <f>AVERAGE($F$135:F141)</f>
        <v>3535.2657142857142</v>
      </c>
      <c r="J141" s="84">
        <f t="shared" si="12"/>
        <v>183833.81714285715</v>
      </c>
      <c r="K141" s="79">
        <f t="shared" si="16"/>
        <v>184200.36</v>
      </c>
      <c r="L141" s="85">
        <f t="shared" si="13"/>
        <v>589.21095238095234</v>
      </c>
      <c r="M141" s="79">
        <f t="shared" si="17"/>
        <v>359566.16930000007</v>
      </c>
    </row>
    <row r="142" spans="1:19" x14ac:dyDescent="0.2">
      <c r="A142" s="83">
        <v>40601</v>
      </c>
      <c r="B142" s="79">
        <v>0</v>
      </c>
      <c r="C142" s="79">
        <v>0</v>
      </c>
      <c r="D142" s="95">
        <v>5108.45</v>
      </c>
      <c r="E142" s="28">
        <f>(+D142*0.05)</f>
        <v>255.42250000000001</v>
      </c>
      <c r="F142" s="79">
        <f t="shared" si="18"/>
        <v>5108.45</v>
      </c>
      <c r="G142" s="79">
        <f t="shared" si="19"/>
        <v>4350.2650000000003</v>
      </c>
      <c r="H142" s="79">
        <f t="shared" si="11"/>
        <v>3211.3061538461534</v>
      </c>
      <c r="I142" s="79">
        <f>AVERAGE($F$135:F142)</f>
        <v>3731.9137500000002</v>
      </c>
      <c r="J142" s="84">
        <f t="shared" si="12"/>
        <v>194059.51500000001</v>
      </c>
      <c r="K142" s="79">
        <f t="shared" si="16"/>
        <v>184437.76000000001</v>
      </c>
      <c r="L142" s="85">
        <f t="shared" si="13"/>
        <v>621.98562500000003</v>
      </c>
      <c r="M142" s="79">
        <f t="shared" si="17"/>
        <v>364674.61930000008</v>
      </c>
    </row>
    <row r="143" spans="1:19" x14ac:dyDescent="0.2">
      <c r="A143" s="83">
        <v>40608</v>
      </c>
      <c r="B143" s="79">
        <v>0</v>
      </c>
      <c r="C143" s="79">
        <v>0</v>
      </c>
      <c r="D143" s="95">
        <v>4703.1000000000004</v>
      </c>
      <c r="E143" s="28">
        <f>+D143*0.05</f>
        <v>235.15500000000003</v>
      </c>
      <c r="F143" s="79">
        <f t="shared" si="18"/>
        <v>4703.1000000000004</v>
      </c>
      <c r="G143" s="79">
        <f t="shared" si="19"/>
        <v>4749.4825000000001</v>
      </c>
      <c r="H143" s="79">
        <f t="shared" si="11"/>
        <v>3393.2446153846154</v>
      </c>
      <c r="I143" s="79">
        <f>AVERAGE($F$135:F143)</f>
        <v>3839.8233333333337</v>
      </c>
      <c r="J143" s="84">
        <f t="shared" si="12"/>
        <v>199670.81333333335</v>
      </c>
      <c r="K143" s="79">
        <f t="shared" si="16"/>
        <v>183481.08000000002</v>
      </c>
      <c r="L143" s="85">
        <f t="shared" si="13"/>
        <v>639.97055555555562</v>
      </c>
      <c r="M143" s="79">
        <f t="shared" si="17"/>
        <v>369377.71930000006</v>
      </c>
    </row>
    <row r="144" spans="1:19" x14ac:dyDescent="0.2">
      <c r="A144" s="83">
        <v>40615</v>
      </c>
      <c r="B144" s="79">
        <v>0</v>
      </c>
      <c r="C144" s="79">
        <v>0</v>
      </c>
      <c r="D144" s="95">
        <f>5316.62</f>
        <v>5316.62</v>
      </c>
      <c r="E144" s="28">
        <f>+D144*0.05</f>
        <v>265.83100000000002</v>
      </c>
      <c r="F144" s="79">
        <f t="shared" si="18"/>
        <v>5316.62</v>
      </c>
      <c r="G144" s="79">
        <f t="shared" si="19"/>
        <v>5128.9975000000004</v>
      </c>
      <c r="H144" s="79">
        <f t="shared" ref="H144:H207" si="20">AVERAGE(F132:F144)</f>
        <v>3606.1276923076925</v>
      </c>
      <c r="I144" s="79">
        <f>AVERAGE($F$135:F144)</f>
        <v>3987.5030000000006</v>
      </c>
      <c r="J144" s="84">
        <f t="shared" si="12"/>
        <v>207350.15600000002</v>
      </c>
      <c r="K144" s="79">
        <f t="shared" si="16"/>
        <v>183523.32000000004</v>
      </c>
      <c r="L144" s="85">
        <f t="shared" si="13"/>
        <v>664.58383333333347</v>
      </c>
      <c r="M144" s="79">
        <f t="shared" si="17"/>
        <v>374694.33930000005</v>
      </c>
    </row>
    <row r="145" spans="1:13" x14ac:dyDescent="0.2">
      <c r="A145" s="83">
        <v>40622</v>
      </c>
      <c r="B145" s="79">
        <v>0</v>
      </c>
      <c r="C145" s="79">
        <v>0</v>
      </c>
      <c r="D145" s="95">
        <f>3592.87</f>
        <v>3592.87</v>
      </c>
      <c r="E145" s="28">
        <f>(+D145*0.05)</f>
        <v>179.64350000000002</v>
      </c>
      <c r="F145" s="79">
        <f t="shared" si="18"/>
        <v>3592.87</v>
      </c>
      <c r="G145" s="79">
        <f t="shared" si="19"/>
        <v>4680.2599999999993</v>
      </c>
      <c r="H145" s="79">
        <f t="shared" si="20"/>
        <v>3711.6330769230772</v>
      </c>
      <c r="I145" s="79">
        <f>AVERAGE($F$135:F145)</f>
        <v>3951.6272727272735</v>
      </c>
      <c r="J145" s="84">
        <f t="shared" si="12"/>
        <v>205484.61818181822</v>
      </c>
      <c r="K145" s="79">
        <f t="shared" si="16"/>
        <v>183412.53000000003</v>
      </c>
      <c r="L145" s="85">
        <f t="shared" si="13"/>
        <v>658.60454545454559</v>
      </c>
      <c r="M145" s="79">
        <f t="shared" si="17"/>
        <v>378287.20930000005</v>
      </c>
    </row>
    <row r="146" spans="1:13" x14ac:dyDescent="0.2">
      <c r="A146" s="83">
        <v>40629</v>
      </c>
      <c r="B146" s="79">
        <v>0</v>
      </c>
      <c r="C146" s="79">
        <v>0</v>
      </c>
      <c r="D146" s="95">
        <v>5672.72</v>
      </c>
      <c r="E146" s="28">
        <f>+D146*0.05</f>
        <v>283.63600000000002</v>
      </c>
      <c r="F146" s="79">
        <f t="shared" si="18"/>
        <v>5672.72</v>
      </c>
      <c r="G146" s="79">
        <f t="shared" si="19"/>
        <v>4821.3275000000003</v>
      </c>
      <c r="H146" s="79">
        <f t="shared" si="20"/>
        <v>3918.2992307692311</v>
      </c>
      <c r="I146" s="79">
        <f>AVERAGE($F$135:F146)</f>
        <v>4095.0516666666676</v>
      </c>
      <c r="J146" s="84">
        <f t="shared" si="12"/>
        <v>212942.6866666667</v>
      </c>
      <c r="K146" s="79">
        <f t="shared" si="16"/>
        <v>185936.59</v>
      </c>
      <c r="L146" s="85">
        <f t="shared" si="13"/>
        <v>682.50861111111124</v>
      </c>
      <c r="M146" s="79">
        <f t="shared" si="17"/>
        <v>383959.92930000002</v>
      </c>
    </row>
    <row r="147" spans="1:13" x14ac:dyDescent="0.2">
      <c r="A147" s="83">
        <v>40636</v>
      </c>
      <c r="B147" s="79">
        <v>0</v>
      </c>
      <c r="C147" s="79">
        <v>0</v>
      </c>
      <c r="D147" s="95">
        <v>5497.68</v>
      </c>
      <c r="E147" s="28">
        <f>+D147*0.05</f>
        <v>274.88400000000001</v>
      </c>
      <c r="F147" s="79">
        <f t="shared" si="18"/>
        <v>5497.68</v>
      </c>
      <c r="G147" s="79">
        <f t="shared" si="19"/>
        <v>5019.9724999999999</v>
      </c>
      <c r="H147" s="79">
        <f t="shared" si="20"/>
        <v>4202.9461538461546</v>
      </c>
      <c r="I147" s="79">
        <f>AVERAGE($F$135:F147)</f>
        <v>4202.9461538461546</v>
      </c>
      <c r="J147" s="84">
        <f t="shared" si="12"/>
        <v>218553.20000000004</v>
      </c>
      <c r="K147" s="79">
        <f t="shared" si="16"/>
        <v>185960.33000000002</v>
      </c>
      <c r="L147" s="85">
        <f t="shared" si="13"/>
        <v>700.49102564102577</v>
      </c>
      <c r="M147" s="79">
        <f t="shared" si="17"/>
        <v>389457.60930000001</v>
      </c>
    </row>
    <row r="148" spans="1:13" x14ac:dyDescent="0.2">
      <c r="A148" s="83">
        <v>40643</v>
      </c>
      <c r="B148" s="79">
        <v>0</v>
      </c>
      <c r="C148" s="79">
        <v>0</v>
      </c>
      <c r="D148" s="95">
        <v>5378.84</v>
      </c>
      <c r="E148" s="28">
        <f>(+D148*0.05)</f>
        <v>268.94200000000001</v>
      </c>
      <c r="F148" s="79">
        <f t="shared" si="18"/>
        <v>5378.84</v>
      </c>
      <c r="G148" s="79">
        <f t="shared" si="19"/>
        <v>5035.5275000000001</v>
      </c>
      <c r="H148" s="79">
        <f t="shared" si="20"/>
        <v>4336.7284615384615</v>
      </c>
      <c r="I148" s="79">
        <f>AVERAGE($F$135:F148)</f>
        <v>4286.9385714285727</v>
      </c>
      <c r="J148" s="84">
        <f t="shared" si="12"/>
        <v>222920.80571428579</v>
      </c>
      <c r="K148" s="79">
        <f t="shared" si="16"/>
        <v>186993.37</v>
      </c>
      <c r="L148" s="85">
        <f t="shared" si="13"/>
        <v>714.48976190476208</v>
      </c>
      <c r="M148" s="79">
        <f t="shared" si="17"/>
        <v>394836.44930000004</v>
      </c>
    </row>
    <row r="149" spans="1:13" x14ac:dyDescent="0.2">
      <c r="A149" s="83">
        <v>40650</v>
      </c>
      <c r="B149" s="79">
        <v>0</v>
      </c>
      <c r="C149" s="79">
        <v>0</v>
      </c>
      <c r="D149" s="95">
        <v>7205.5</v>
      </c>
      <c r="E149" s="28">
        <f>+D149*0.05</f>
        <v>360.27500000000003</v>
      </c>
      <c r="F149" s="79">
        <f t="shared" si="18"/>
        <v>7205.5</v>
      </c>
      <c r="G149" s="79">
        <f t="shared" si="19"/>
        <v>5938.6850000000004</v>
      </c>
      <c r="H149" s="79">
        <f t="shared" si="20"/>
        <v>4721.1346153846162</v>
      </c>
      <c r="I149" s="79">
        <f>AVERAGE($F$135:F149)</f>
        <v>4481.5093333333343</v>
      </c>
      <c r="J149" s="84">
        <f t="shared" si="12"/>
        <v>233038.48533333337</v>
      </c>
      <c r="K149" s="79">
        <f t="shared" si="16"/>
        <v>189973.13999999998</v>
      </c>
      <c r="L149" s="85">
        <f t="shared" si="13"/>
        <v>746.91822222222243</v>
      </c>
      <c r="M149" s="79">
        <f t="shared" si="17"/>
        <v>402041.94930000004</v>
      </c>
    </row>
    <row r="150" spans="1:13" x14ac:dyDescent="0.2">
      <c r="A150" s="83">
        <v>40657</v>
      </c>
      <c r="B150" s="79">
        <v>0</v>
      </c>
      <c r="C150" s="79">
        <v>0</v>
      </c>
      <c r="D150" s="95">
        <v>5426.16</v>
      </c>
      <c r="E150" s="28">
        <f>+D150*0.05</f>
        <v>271.30799999999999</v>
      </c>
      <c r="F150" s="79">
        <f t="shared" si="18"/>
        <v>5426.16</v>
      </c>
      <c r="G150" s="79">
        <f t="shared" si="19"/>
        <v>5877.0450000000001</v>
      </c>
      <c r="H150" s="79">
        <f t="shared" si="20"/>
        <v>4978.8076923076924</v>
      </c>
      <c r="I150" s="79">
        <f>AVERAGE($F$135:F150)</f>
        <v>4540.5500000000011</v>
      </c>
      <c r="J150" s="84">
        <f t="shared" si="12"/>
        <v>236108.60000000006</v>
      </c>
      <c r="K150" s="79">
        <f t="shared" si="16"/>
        <v>191036.16999999998</v>
      </c>
      <c r="L150" s="85">
        <f t="shared" si="13"/>
        <v>756.75833333333355</v>
      </c>
      <c r="M150" s="79">
        <f t="shared" si="17"/>
        <v>407468.10930000001</v>
      </c>
    </row>
    <row r="151" spans="1:13" x14ac:dyDescent="0.2">
      <c r="A151" s="83">
        <v>40664</v>
      </c>
      <c r="B151" s="79">
        <v>0</v>
      </c>
      <c r="C151" s="79">
        <v>0</v>
      </c>
      <c r="D151" s="95">
        <f>5095.82+6</f>
        <v>5101.82</v>
      </c>
      <c r="E151" s="28">
        <f>(+D151*0.05)</f>
        <v>255.09100000000001</v>
      </c>
      <c r="F151" s="79">
        <f t="shared" si="18"/>
        <v>5101.82</v>
      </c>
      <c r="G151" s="79">
        <f t="shared" si="19"/>
        <v>5778.08</v>
      </c>
      <c r="H151" s="79">
        <f t="shared" si="20"/>
        <v>5022.7976923076922</v>
      </c>
      <c r="I151" s="79">
        <f>AVERAGE($F$135:F151)</f>
        <v>4573.5658823529429</v>
      </c>
      <c r="J151" s="84">
        <f t="shared" si="12"/>
        <v>237825.42588235304</v>
      </c>
      <c r="K151" s="79">
        <f t="shared" si="16"/>
        <v>193511.09</v>
      </c>
      <c r="L151" s="85">
        <f t="shared" si="13"/>
        <v>762.26098039215719</v>
      </c>
      <c r="M151" s="79">
        <f t="shared" si="17"/>
        <v>412569.92930000002</v>
      </c>
    </row>
    <row r="152" spans="1:13" x14ac:dyDescent="0.2">
      <c r="A152" s="83">
        <v>40671</v>
      </c>
      <c r="B152" s="79">
        <v>0</v>
      </c>
      <c r="C152" s="79">
        <v>0</v>
      </c>
      <c r="D152" s="95">
        <v>3991.55</v>
      </c>
      <c r="E152" s="28">
        <f>+D152*0.05</f>
        <v>199.57750000000001</v>
      </c>
      <c r="F152" s="79">
        <f t="shared" si="18"/>
        <v>3991.55</v>
      </c>
      <c r="G152" s="79">
        <f t="shared" si="19"/>
        <v>5431.2574999999997</v>
      </c>
      <c r="H152" s="79">
        <f t="shared" si="20"/>
        <v>5090.8992307692306</v>
      </c>
      <c r="I152" s="79">
        <f>AVERAGE($F$135:F152)</f>
        <v>4541.2316666666684</v>
      </c>
      <c r="J152" s="84">
        <f t="shared" si="12"/>
        <v>236144.04666666675</v>
      </c>
      <c r="K152" s="79">
        <f t="shared" si="16"/>
        <v>193945.00999999998</v>
      </c>
      <c r="L152" s="85">
        <f t="shared" si="13"/>
        <v>756.87194444444469</v>
      </c>
      <c r="M152" s="79">
        <f t="shared" si="17"/>
        <v>416561.47930000001</v>
      </c>
    </row>
    <row r="153" spans="1:13" x14ac:dyDescent="0.2">
      <c r="A153" s="83">
        <v>40678</v>
      </c>
      <c r="B153" s="79">
        <v>0</v>
      </c>
      <c r="C153" s="79">
        <v>0</v>
      </c>
      <c r="D153" s="95">
        <v>4839.58</v>
      </c>
      <c r="E153" s="28">
        <f>+D153*0.05</f>
        <v>241.97900000000001</v>
      </c>
      <c r="F153" s="79">
        <f t="shared" si="18"/>
        <v>4839.58</v>
      </c>
      <c r="G153" s="79">
        <f t="shared" si="19"/>
        <v>4839.7775000000001</v>
      </c>
      <c r="H153" s="79">
        <f t="shared" si="20"/>
        <v>5170.9776923076925</v>
      </c>
      <c r="I153" s="79">
        <f>AVERAGE($F$135:F153)</f>
        <v>4556.9342105263177</v>
      </c>
      <c r="J153" s="84">
        <f t="shared" si="12"/>
        <v>236960.57894736851</v>
      </c>
      <c r="K153" s="79">
        <f t="shared" si="16"/>
        <v>195420.36999999997</v>
      </c>
      <c r="L153" s="85">
        <f t="shared" si="13"/>
        <v>759.48903508771957</v>
      </c>
      <c r="M153" s="79">
        <f t="shared" si="17"/>
        <v>421401.05930000002</v>
      </c>
    </row>
    <row r="154" spans="1:13" x14ac:dyDescent="0.2">
      <c r="A154" s="83">
        <v>40685</v>
      </c>
      <c r="B154" s="79">
        <v>0</v>
      </c>
      <c r="C154" s="79">
        <v>0</v>
      </c>
      <c r="D154" s="95">
        <v>3885.5</v>
      </c>
      <c r="E154" s="28">
        <f>(+D154*0.05)</f>
        <v>194.27500000000001</v>
      </c>
      <c r="F154" s="79">
        <f t="shared" si="18"/>
        <v>3885.5</v>
      </c>
      <c r="G154" s="79">
        <f t="shared" si="19"/>
        <v>4454.6124999999993</v>
      </c>
      <c r="H154" s="79">
        <f t="shared" si="20"/>
        <v>5055.4146153846168</v>
      </c>
      <c r="I154" s="79">
        <f>AVERAGE($F$135:F154)</f>
        <v>4523.3625000000011</v>
      </c>
      <c r="J154" s="84">
        <f t="shared" si="12"/>
        <v>235214.85000000006</v>
      </c>
      <c r="K154" s="79">
        <f t="shared" si="16"/>
        <v>194026.16999999995</v>
      </c>
      <c r="L154" s="85">
        <f t="shared" si="13"/>
        <v>753.89375000000018</v>
      </c>
      <c r="M154" s="79">
        <f t="shared" si="17"/>
        <v>425286.55930000002</v>
      </c>
    </row>
    <row r="155" spans="1:13" x14ac:dyDescent="0.2">
      <c r="A155" s="83">
        <v>40692</v>
      </c>
      <c r="B155" s="79">
        <v>0</v>
      </c>
      <c r="C155" s="79">
        <v>0</v>
      </c>
      <c r="D155" s="95">
        <v>3401.24</v>
      </c>
      <c r="E155" s="28">
        <f>+D155*0.05</f>
        <v>170.06200000000001</v>
      </c>
      <c r="F155" s="79">
        <f t="shared" si="18"/>
        <v>3401.24</v>
      </c>
      <c r="G155" s="79">
        <f t="shared" si="19"/>
        <v>4029.4675000000002</v>
      </c>
      <c r="H155" s="79">
        <f t="shared" si="20"/>
        <v>4924.0907692307701</v>
      </c>
      <c r="I155" s="79">
        <f>AVERAGE($F$135:F155)</f>
        <v>4469.9280952380968</v>
      </c>
      <c r="J155" s="84">
        <f t="shared" si="12"/>
        <v>232436.26095238104</v>
      </c>
      <c r="K155" s="79">
        <f t="shared" si="16"/>
        <v>191971.97999999992</v>
      </c>
      <c r="L155" s="85">
        <f t="shared" si="13"/>
        <v>744.98801587301614</v>
      </c>
      <c r="M155" s="79">
        <f t="shared" si="17"/>
        <v>428687.79930000001</v>
      </c>
    </row>
    <row r="156" spans="1:13" x14ac:dyDescent="0.2">
      <c r="A156" s="83">
        <v>40699</v>
      </c>
      <c r="B156" s="79">
        <v>0</v>
      </c>
      <c r="C156" s="79">
        <v>0</v>
      </c>
      <c r="D156" s="95">
        <v>3143.07</v>
      </c>
      <c r="E156" s="28">
        <f>+D156*0.05</f>
        <v>157.15350000000001</v>
      </c>
      <c r="F156" s="79">
        <f t="shared" si="18"/>
        <v>3143.07</v>
      </c>
      <c r="G156" s="79">
        <f t="shared" si="19"/>
        <v>3817.3474999999999</v>
      </c>
      <c r="H156" s="79">
        <f t="shared" si="20"/>
        <v>4804.0884615384621</v>
      </c>
      <c r="I156" s="79">
        <f>AVERAGE($F$135:F156)</f>
        <v>4409.6163636363653</v>
      </c>
      <c r="J156" s="84">
        <f t="shared" si="12"/>
        <v>229300.05090909099</v>
      </c>
      <c r="K156" s="79">
        <f t="shared" si="16"/>
        <v>191278.83999999997</v>
      </c>
      <c r="L156" s="85">
        <f t="shared" si="13"/>
        <v>734.93606060606089</v>
      </c>
      <c r="M156" s="79">
        <f t="shared" si="17"/>
        <v>431830.86930000002</v>
      </c>
    </row>
    <row r="157" spans="1:13" x14ac:dyDescent="0.2">
      <c r="A157" s="83">
        <v>40706</v>
      </c>
      <c r="B157" s="79">
        <v>0</v>
      </c>
      <c r="C157" s="79">
        <v>0</v>
      </c>
      <c r="D157" s="95">
        <v>3791.32</v>
      </c>
      <c r="E157" s="28">
        <f>(+D157*0.05)</f>
        <v>189.56600000000003</v>
      </c>
      <c r="F157" s="79">
        <f t="shared" si="18"/>
        <v>3791.32</v>
      </c>
      <c r="G157" s="79">
        <f t="shared" si="19"/>
        <v>3555.2824999999998</v>
      </c>
      <c r="H157" s="79">
        <f t="shared" si="20"/>
        <v>4686.7576923076931</v>
      </c>
      <c r="I157" s="79">
        <f>AVERAGE($F$135:F157)</f>
        <v>4382.7339130434802</v>
      </c>
      <c r="J157" s="84">
        <f t="shared" si="12"/>
        <v>227902.16347826098</v>
      </c>
      <c r="K157" s="79">
        <f t="shared" si="16"/>
        <v>191940.50999999998</v>
      </c>
      <c r="L157" s="85">
        <f t="shared" si="13"/>
        <v>730.45565217391334</v>
      </c>
      <c r="M157" s="79">
        <f>+M156+F157</f>
        <v>435622.18930000003</v>
      </c>
    </row>
    <row r="158" spans="1:13" x14ac:dyDescent="0.2">
      <c r="A158" s="83">
        <v>40713</v>
      </c>
      <c r="B158" s="79">
        <v>0</v>
      </c>
      <c r="C158" s="79">
        <v>0</v>
      </c>
      <c r="D158" s="95">
        <v>4821.84</v>
      </c>
      <c r="E158" s="28">
        <f t="shared" ref="E158:E221" si="21">+D158*0.05</f>
        <v>241.09200000000001</v>
      </c>
      <c r="F158" s="79">
        <f t="shared" si="18"/>
        <v>4821.84</v>
      </c>
      <c r="G158" s="79">
        <f t="shared" si="19"/>
        <v>3789.3674999999998</v>
      </c>
      <c r="H158" s="79">
        <f t="shared" si="20"/>
        <v>4781.293846153847</v>
      </c>
      <c r="I158" s="79">
        <f>AVERAGE($F$135:F158)</f>
        <v>4401.0300000000016</v>
      </c>
      <c r="J158" s="84">
        <f t="shared" si="12"/>
        <v>228853.56000000008</v>
      </c>
      <c r="K158" s="79">
        <f t="shared" si="16"/>
        <v>192496.72999999992</v>
      </c>
      <c r="L158" s="85">
        <f t="shared" si="13"/>
        <v>733.50500000000022</v>
      </c>
      <c r="M158" s="79">
        <f>+M157+F158</f>
        <v>440444.02930000005</v>
      </c>
    </row>
    <row r="159" spans="1:13" x14ac:dyDescent="0.2">
      <c r="A159" s="83">
        <v>40720</v>
      </c>
      <c r="B159" s="79">
        <v>0</v>
      </c>
      <c r="C159" s="79">
        <v>0</v>
      </c>
      <c r="D159" s="95">
        <v>4156.63</v>
      </c>
      <c r="E159" s="28">
        <f t="shared" si="21"/>
        <v>207.83150000000001</v>
      </c>
      <c r="F159" s="79">
        <f t="shared" si="18"/>
        <v>4156.63</v>
      </c>
      <c r="G159" s="79">
        <f t="shared" si="19"/>
        <v>3978.2150000000001</v>
      </c>
      <c r="H159" s="79">
        <f t="shared" si="20"/>
        <v>4664.6715384615372</v>
      </c>
      <c r="I159" s="79">
        <f>AVERAGE($F$135:F159)</f>
        <v>4391.2540000000017</v>
      </c>
      <c r="J159" s="84">
        <f t="shared" ref="J159:J222" si="22">+I159*52</f>
        <v>228345.2080000001</v>
      </c>
      <c r="K159" s="79">
        <f t="shared" si="16"/>
        <v>193730.77999999994</v>
      </c>
      <c r="L159" s="85">
        <f t="shared" ref="L159:L222" si="23">+I159/6</f>
        <v>731.87566666666692</v>
      </c>
      <c r="M159" s="79">
        <f>+M158+F159</f>
        <v>444600.65930000006</v>
      </c>
    </row>
    <row r="160" spans="1:13" x14ac:dyDescent="0.2">
      <c r="A160" s="83">
        <v>40727</v>
      </c>
      <c r="B160" s="79">
        <v>0</v>
      </c>
      <c r="C160" s="79">
        <v>0</v>
      </c>
      <c r="D160" s="95">
        <v>3576</v>
      </c>
      <c r="E160" s="28">
        <f t="shared" si="21"/>
        <v>178.8</v>
      </c>
      <c r="F160" s="79">
        <f t="shared" si="18"/>
        <v>3576</v>
      </c>
      <c r="G160" s="79">
        <f t="shared" si="19"/>
        <v>4086.4475000000002</v>
      </c>
      <c r="H160" s="79">
        <f t="shared" si="20"/>
        <v>4516.8499999999995</v>
      </c>
      <c r="I160" s="79">
        <f>AVERAGE($F$135:F160)</f>
        <v>4359.8980769230784</v>
      </c>
      <c r="J160" s="84">
        <f t="shared" si="22"/>
        <v>226714.70000000007</v>
      </c>
      <c r="K160" s="79">
        <f t="shared" si="16"/>
        <v>195772.02999999994</v>
      </c>
      <c r="L160" s="85">
        <f t="shared" si="23"/>
        <v>726.6496794871797</v>
      </c>
      <c r="M160" s="79">
        <f t="shared" ref="M160:M188" si="24">+M159+F160</f>
        <v>448176.65930000006</v>
      </c>
    </row>
    <row r="161" spans="1:15" x14ac:dyDescent="0.2">
      <c r="A161" s="83">
        <v>40734</v>
      </c>
      <c r="B161" s="79">
        <v>0</v>
      </c>
      <c r="C161" s="79">
        <v>0</v>
      </c>
      <c r="D161" s="95">
        <v>4242.38</v>
      </c>
      <c r="E161" s="28">
        <f t="shared" si="21"/>
        <v>212.11900000000003</v>
      </c>
      <c r="F161" s="79">
        <f t="shared" si="18"/>
        <v>4242.38</v>
      </c>
      <c r="G161" s="79">
        <f t="shared" si="19"/>
        <v>4199.2125000000005</v>
      </c>
      <c r="H161" s="79">
        <f t="shared" si="20"/>
        <v>4429.4299999999994</v>
      </c>
      <c r="I161" s="79">
        <f>AVERAGE($F$135:F161)</f>
        <v>4355.5455555555573</v>
      </c>
      <c r="J161" s="84">
        <f t="shared" si="22"/>
        <v>226488.36888888897</v>
      </c>
      <c r="K161" s="79">
        <f t="shared" si="16"/>
        <v>197804.89999999997</v>
      </c>
      <c r="L161" s="85">
        <f t="shared" si="23"/>
        <v>725.92425925925954</v>
      </c>
      <c r="M161" s="79">
        <f t="shared" si="24"/>
        <v>452419.03930000006</v>
      </c>
    </row>
    <row r="162" spans="1:15" x14ac:dyDescent="0.2">
      <c r="A162" s="83">
        <v>40741</v>
      </c>
      <c r="B162" s="79">
        <v>0</v>
      </c>
      <c r="C162" s="79">
        <v>0</v>
      </c>
      <c r="D162" s="95">
        <v>5119.13</v>
      </c>
      <c r="E162" s="28">
        <f t="shared" si="21"/>
        <v>255.95650000000001</v>
      </c>
      <c r="F162" s="79">
        <f t="shared" si="18"/>
        <v>5119.13</v>
      </c>
      <c r="G162" s="79">
        <f t="shared" si="19"/>
        <v>4273.5349999999999</v>
      </c>
      <c r="H162" s="79">
        <f t="shared" si="20"/>
        <v>4268.9399999999996</v>
      </c>
      <c r="I162" s="79">
        <f>AVERAGE($F$135:F162)</f>
        <v>4382.8164285714311</v>
      </c>
      <c r="J162" s="84">
        <f t="shared" si="22"/>
        <v>227906.45428571443</v>
      </c>
      <c r="K162" s="79">
        <f t="shared" si="16"/>
        <v>199936.5</v>
      </c>
      <c r="L162" s="85">
        <f t="shared" si="23"/>
        <v>730.46940476190514</v>
      </c>
      <c r="M162" s="79">
        <f t="shared" si="24"/>
        <v>457538.16930000007</v>
      </c>
    </row>
    <row r="163" spans="1:15" x14ac:dyDescent="0.2">
      <c r="A163" s="83">
        <v>40748</v>
      </c>
      <c r="B163" s="79">
        <v>0</v>
      </c>
      <c r="C163" s="79">
        <v>0</v>
      </c>
      <c r="D163" s="95">
        <v>2821.36</v>
      </c>
      <c r="E163" s="28">
        <f t="shared" si="21"/>
        <v>141.06800000000001</v>
      </c>
      <c r="F163" s="79">
        <f t="shared" si="18"/>
        <v>2821.36</v>
      </c>
      <c r="G163" s="79">
        <f t="shared" si="19"/>
        <v>3939.7175000000002</v>
      </c>
      <c r="H163" s="79">
        <f t="shared" si="20"/>
        <v>4068.5707692307687</v>
      </c>
      <c r="I163" s="79">
        <f>AVERAGE($F$135:F163)</f>
        <v>4328.9731034482775</v>
      </c>
      <c r="J163" s="84">
        <f t="shared" si="22"/>
        <v>225106.60137931042</v>
      </c>
      <c r="K163" s="79">
        <f t="shared" si="16"/>
        <v>200181.63999999998</v>
      </c>
      <c r="L163" s="85">
        <f t="shared" si="23"/>
        <v>721.49551724137962</v>
      </c>
      <c r="M163" s="79">
        <f t="shared" si="24"/>
        <v>460359.52930000005</v>
      </c>
    </row>
    <row r="164" spans="1:15" x14ac:dyDescent="0.2">
      <c r="A164" s="83">
        <v>40755</v>
      </c>
      <c r="B164" s="79">
        <v>0</v>
      </c>
      <c r="C164" s="79">
        <v>0</v>
      </c>
      <c r="D164" s="95">
        <v>3305.18</v>
      </c>
      <c r="E164" s="28">
        <f t="shared" si="21"/>
        <v>165.25900000000001</v>
      </c>
      <c r="F164" s="79">
        <f t="shared" si="18"/>
        <v>3305.18</v>
      </c>
      <c r="G164" s="79">
        <f t="shared" si="19"/>
        <v>3872.0125000000003</v>
      </c>
      <c r="H164" s="79">
        <f t="shared" si="20"/>
        <v>3930.3676923076923</v>
      </c>
      <c r="I164" s="79">
        <f>AVERAGE($F$135:F164)</f>
        <v>4294.8466666666682</v>
      </c>
      <c r="J164" s="84">
        <f t="shared" si="22"/>
        <v>223332.02666666673</v>
      </c>
      <c r="K164" s="79">
        <f t="shared" si="16"/>
        <v>201029.50999999998</v>
      </c>
      <c r="L164" s="85">
        <f t="shared" si="23"/>
        <v>715.80777777777803</v>
      </c>
      <c r="M164" s="79">
        <f t="shared" si="24"/>
        <v>463664.70930000005</v>
      </c>
    </row>
    <row r="165" spans="1:15" x14ac:dyDescent="0.2">
      <c r="A165" s="83">
        <v>40762</v>
      </c>
      <c r="B165" s="79">
        <v>0</v>
      </c>
      <c r="C165" s="79">
        <v>0</v>
      </c>
      <c r="D165" s="95">
        <v>3738.64</v>
      </c>
      <c r="E165" s="28">
        <f t="shared" si="21"/>
        <v>186.93200000000002</v>
      </c>
      <c r="F165" s="79">
        <f t="shared" si="18"/>
        <v>3738.64</v>
      </c>
      <c r="G165" s="79">
        <f t="shared" si="19"/>
        <v>3746.0774999999999</v>
      </c>
      <c r="H165" s="79">
        <f t="shared" si="20"/>
        <v>3910.9130769230765</v>
      </c>
      <c r="I165" s="79">
        <f>AVERAGE($F$135:F165)</f>
        <v>4276.9045161290342</v>
      </c>
      <c r="J165" s="84">
        <f t="shared" si="22"/>
        <v>222399.03483870978</v>
      </c>
      <c r="K165" s="79">
        <f t="shared" si="16"/>
        <v>200441.56999999998</v>
      </c>
      <c r="L165" s="85">
        <f t="shared" si="23"/>
        <v>712.81741935483899</v>
      </c>
      <c r="M165" s="79">
        <f t="shared" si="24"/>
        <v>467403.34930000006</v>
      </c>
    </row>
    <row r="166" spans="1:15" x14ac:dyDescent="0.2">
      <c r="A166" s="83">
        <v>40769</v>
      </c>
      <c r="B166" s="79">
        <v>0</v>
      </c>
      <c r="C166" s="79">
        <v>0</v>
      </c>
      <c r="D166" s="95">
        <v>3817.62</v>
      </c>
      <c r="E166" s="28">
        <f t="shared" si="21"/>
        <v>190.881</v>
      </c>
      <c r="F166" s="79">
        <f t="shared" si="18"/>
        <v>3817.62</v>
      </c>
      <c r="G166" s="79">
        <f t="shared" si="19"/>
        <v>3420.7</v>
      </c>
      <c r="H166" s="79">
        <f t="shared" si="20"/>
        <v>3832.3007692307697</v>
      </c>
      <c r="I166" s="79">
        <f>AVERAGE($F$135:F166)</f>
        <v>4262.5518750000019</v>
      </c>
      <c r="J166" s="84">
        <f t="shared" si="22"/>
        <v>221652.6975000001</v>
      </c>
      <c r="K166" s="79">
        <f t="shared" si="16"/>
        <v>200983.99</v>
      </c>
      <c r="L166" s="85">
        <f t="shared" si="23"/>
        <v>710.42531250000036</v>
      </c>
      <c r="M166" s="79">
        <f t="shared" si="24"/>
        <v>471220.96930000006</v>
      </c>
    </row>
    <row r="167" spans="1:15" x14ac:dyDescent="0.2">
      <c r="A167" s="83">
        <v>40776</v>
      </c>
      <c r="B167" s="79">
        <v>0</v>
      </c>
      <c r="C167" s="79">
        <v>0</v>
      </c>
      <c r="D167" s="95">
        <v>4201.6499999999996</v>
      </c>
      <c r="E167" s="28">
        <f t="shared" si="21"/>
        <v>210.08249999999998</v>
      </c>
      <c r="F167" s="79">
        <f t="shared" si="18"/>
        <v>4201.6499999999996</v>
      </c>
      <c r="G167" s="79">
        <f t="shared" si="19"/>
        <v>3765.7724999999996</v>
      </c>
      <c r="H167" s="79">
        <f t="shared" si="20"/>
        <v>3856.6200000000003</v>
      </c>
      <c r="I167" s="79">
        <f>AVERAGE($F$135:F167)</f>
        <v>4260.7063636363655</v>
      </c>
      <c r="J167" s="84">
        <f t="shared" si="22"/>
        <v>221556.73090909101</v>
      </c>
      <c r="K167" s="79">
        <f t="shared" si="16"/>
        <v>202003.85999999996</v>
      </c>
      <c r="L167" s="85">
        <f t="shared" si="23"/>
        <v>710.11772727272762</v>
      </c>
      <c r="M167" s="79">
        <f t="shared" si="24"/>
        <v>475422.61930000008</v>
      </c>
    </row>
    <row r="168" spans="1:15" x14ac:dyDescent="0.2">
      <c r="A168" s="83">
        <v>40783</v>
      </c>
      <c r="B168" s="79">
        <v>0</v>
      </c>
      <c r="C168" s="79">
        <v>0</v>
      </c>
      <c r="D168" s="95">
        <v>3130.62</v>
      </c>
      <c r="E168" s="28">
        <f t="shared" si="21"/>
        <v>156.53100000000001</v>
      </c>
      <c r="F168" s="79">
        <f t="shared" si="18"/>
        <v>3130.62</v>
      </c>
      <c r="G168" s="79">
        <f t="shared" si="19"/>
        <v>3722.1324999999997</v>
      </c>
      <c r="H168" s="79">
        <f t="shared" si="20"/>
        <v>3835.8030769230777</v>
      </c>
      <c r="I168" s="79">
        <f>AVERAGE($F$135:F168)</f>
        <v>4227.4685294117662</v>
      </c>
      <c r="J168" s="84">
        <f t="shared" si="22"/>
        <v>219828.36352941184</v>
      </c>
      <c r="K168" s="79">
        <f t="shared" si="16"/>
        <v>201033.52999999997</v>
      </c>
      <c r="L168" s="85">
        <f t="shared" si="23"/>
        <v>704.57808823529433</v>
      </c>
      <c r="M168" s="79">
        <f t="shared" si="24"/>
        <v>478553.23930000007</v>
      </c>
    </row>
    <row r="169" spans="1:15" x14ac:dyDescent="0.2">
      <c r="A169" s="83">
        <v>40790</v>
      </c>
      <c r="B169" s="79">
        <v>0</v>
      </c>
      <c r="C169" s="79">
        <v>0</v>
      </c>
      <c r="D169" s="95">
        <v>5092.9799999999996</v>
      </c>
      <c r="E169" s="28">
        <f t="shared" si="21"/>
        <v>254.649</v>
      </c>
      <c r="F169" s="79">
        <f t="shared" si="18"/>
        <v>5092.9799999999996</v>
      </c>
      <c r="G169" s="79">
        <f t="shared" si="19"/>
        <v>4060.7174999999997</v>
      </c>
      <c r="H169" s="79">
        <f t="shared" si="20"/>
        <v>3985.7961538461541</v>
      </c>
      <c r="I169" s="79">
        <f>AVERAGE($F$135:F169)</f>
        <v>4252.1974285714305</v>
      </c>
      <c r="J169" s="84">
        <f t="shared" si="22"/>
        <v>221114.26628571437</v>
      </c>
      <c r="K169" s="79">
        <f t="shared" si="16"/>
        <v>202726.08</v>
      </c>
      <c r="L169" s="85">
        <f t="shared" si="23"/>
        <v>708.69957142857174</v>
      </c>
      <c r="M169" s="79">
        <f t="shared" si="24"/>
        <v>483646.21930000006</v>
      </c>
    </row>
    <row r="170" spans="1:15" x14ac:dyDescent="0.2">
      <c r="A170" s="83">
        <v>40797</v>
      </c>
      <c r="B170" s="79">
        <v>0</v>
      </c>
      <c r="C170" s="79">
        <v>0</v>
      </c>
      <c r="D170" s="95">
        <v>4728.1000000000004</v>
      </c>
      <c r="E170" s="28">
        <f t="shared" si="21"/>
        <v>236.40500000000003</v>
      </c>
      <c r="F170" s="79">
        <f t="shared" si="18"/>
        <v>4728.1000000000004</v>
      </c>
      <c r="G170" s="79">
        <f t="shared" si="19"/>
        <v>4288.3374999999996</v>
      </c>
      <c r="H170" s="79">
        <f t="shared" si="20"/>
        <v>4057.8561538461549</v>
      </c>
      <c r="I170" s="79">
        <f>AVERAGE($F$135:F170)</f>
        <v>4265.416944444446</v>
      </c>
      <c r="J170" s="84">
        <f t="shared" si="22"/>
        <v>221801.68111111119</v>
      </c>
      <c r="K170" s="79">
        <f t="shared" si="16"/>
        <v>204107.56</v>
      </c>
      <c r="L170" s="85">
        <f t="shared" si="23"/>
        <v>710.90282407407437</v>
      </c>
      <c r="M170" s="79">
        <f t="shared" si="24"/>
        <v>488374.31930000003</v>
      </c>
      <c r="O170" s="95"/>
    </row>
    <row r="171" spans="1:15" x14ac:dyDescent="0.2">
      <c r="A171" s="83">
        <v>40804</v>
      </c>
      <c r="B171" s="79">
        <v>0</v>
      </c>
      <c r="C171" s="79">
        <v>0</v>
      </c>
      <c r="D171" s="95">
        <v>4054.19</v>
      </c>
      <c r="E171" s="28">
        <f t="shared" si="21"/>
        <v>202.70950000000002</v>
      </c>
      <c r="F171" s="79">
        <f t="shared" si="18"/>
        <v>4054.19</v>
      </c>
      <c r="G171" s="79">
        <f t="shared" si="19"/>
        <v>4251.4724999999999</v>
      </c>
      <c r="H171" s="79">
        <f t="shared" si="20"/>
        <v>3998.8061538461543</v>
      </c>
      <c r="I171" s="79">
        <f>AVERAGE($F$135:F171)</f>
        <v>4259.7081081081096</v>
      </c>
      <c r="J171" s="84">
        <f t="shared" si="22"/>
        <v>221504.8216216217</v>
      </c>
      <c r="K171" s="79">
        <f t="shared" si="16"/>
        <v>204469.23000000004</v>
      </c>
      <c r="L171" s="85">
        <f t="shared" si="23"/>
        <v>709.9513513513516</v>
      </c>
      <c r="M171" s="79">
        <f t="shared" si="24"/>
        <v>492428.50930000003</v>
      </c>
    </row>
    <row r="172" spans="1:15" x14ac:dyDescent="0.2">
      <c r="A172" s="83">
        <v>40811</v>
      </c>
      <c r="B172" s="79">
        <v>0</v>
      </c>
      <c r="C172" s="79">
        <v>0</v>
      </c>
      <c r="D172" s="95">
        <v>4674.6000000000004</v>
      </c>
      <c r="E172" s="28">
        <f t="shared" si="21"/>
        <v>233.73000000000002</v>
      </c>
      <c r="F172" s="79">
        <f t="shared" si="18"/>
        <v>4674.6000000000004</v>
      </c>
      <c r="G172" s="79">
        <f t="shared" si="19"/>
        <v>4637.4675000000007</v>
      </c>
      <c r="H172" s="79">
        <f t="shared" si="20"/>
        <v>4038.6499999999996</v>
      </c>
      <c r="I172" s="79">
        <f>AVERAGE($F$135:F172)</f>
        <v>4270.6263157894755</v>
      </c>
      <c r="J172" s="84">
        <f t="shared" si="22"/>
        <v>222072.56842105271</v>
      </c>
      <c r="K172" s="79">
        <f t="shared" si="16"/>
        <v>206513.33000000002</v>
      </c>
      <c r="L172" s="85">
        <f t="shared" si="23"/>
        <v>711.77105263157921</v>
      </c>
      <c r="M172" s="79">
        <f t="shared" si="24"/>
        <v>497103.10930000001</v>
      </c>
    </row>
    <row r="173" spans="1:15" x14ac:dyDescent="0.2">
      <c r="A173" s="83">
        <v>40818</v>
      </c>
      <c r="B173" s="79">
        <v>0</v>
      </c>
      <c r="C173" s="79">
        <v>0</v>
      </c>
      <c r="D173" s="95">
        <v>4497.2</v>
      </c>
      <c r="E173" s="28">
        <f t="shared" si="21"/>
        <v>224.86</v>
      </c>
      <c r="F173" s="79">
        <f t="shared" si="18"/>
        <v>4497.2</v>
      </c>
      <c r="G173" s="79">
        <f t="shared" si="19"/>
        <v>4488.5225</v>
      </c>
      <c r="H173" s="79">
        <f t="shared" si="20"/>
        <v>4109.5115384615383</v>
      </c>
      <c r="I173" s="79">
        <f>AVERAGE($F$135:F173)</f>
        <v>4276.4358974358993</v>
      </c>
      <c r="J173" s="84">
        <f t="shared" si="22"/>
        <v>222374.66666666677</v>
      </c>
      <c r="K173" s="79">
        <f t="shared" si="16"/>
        <v>207107.25000000003</v>
      </c>
      <c r="L173" s="85">
        <f t="shared" si="23"/>
        <v>712.73931623931651</v>
      </c>
      <c r="M173" s="79">
        <f t="shared" si="24"/>
        <v>501600.30930000002</v>
      </c>
    </row>
    <row r="174" spans="1:15" x14ac:dyDescent="0.2">
      <c r="A174" s="83">
        <v>40825</v>
      </c>
      <c r="B174" s="79">
        <v>0</v>
      </c>
      <c r="C174" s="79">
        <v>0</v>
      </c>
      <c r="D174" s="95">
        <v>6016.51</v>
      </c>
      <c r="E174" s="28">
        <f t="shared" si="21"/>
        <v>300.82550000000003</v>
      </c>
      <c r="F174" s="79">
        <f t="shared" si="18"/>
        <v>6016.51</v>
      </c>
      <c r="G174" s="79">
        <f t="shared" si="19"/>
        <v>4810.625</v>
      </c>
      <c r="H174" s="79">
        <f t="shared" si="20"/>
        <v>4245.9830769230766</v>
      </c>
      <c r="I174" s="79">
        <f>AVERAGE($F$135:F174)</f>
        <v>4319.9377500000028</v>
      </c>
      <c r="J174" s="84">
        <f t="shared" si="22"/>
        <v>224636.76300000015</v>
      </c>
      <c r="K174" s="79">
        <f t="shared" si="16"/>
        <v>207593.02000000005</v>
      </c>
      <c r="L174" s="85">
        <f t="shared" si="23"/>
        <v>719.9896250000005</v>
      </c>
      <c r="M174" s="79">
        <f t="shared" si="24"/>
        <v>507616.81930000003</v>
      </c>
    </row>
    <row r="175" spans="1:15" x14ac:dyDescent="0.2">
      <c r="A175" s="83">
        <v>40832</v>
      </c>
      <c r="B175" s="79">
        <v>0</v>
      </c>
      <c r="C175" s="79">
        <v>0</v>
      </c>
      <c r="D175" s="95">
        <v>4649.1400000000003</v>
      </c>
      <c r="E175" s="28">
        <f t="shared" si="21"/>
        <v>232.45700000000002</v>
      </c>
      <c r="F175" s="79">
        <f t="shared" si="18"/>
        <v>4649.1400000000003</v>
      </c>
      <c r="G175" s="79">
        <f t="shared" si="19"/>
        <v>4959.3625000000002</v>
      </c>
      <c r="H175" s="79">
        <f t="shared" si="20"/>
        <v>4209.83</v>
      </c>
      <c r="I175" s="79">
        <f>AVERAGE($F$135:F175)</f>
        <v>4327.9670731707347</v>
      </c>
      <c r="J175" s="84">
        <f t="shared" si="22"/>
        <v>225054.2878048782</v>
      </c>
      <c r="K175" s="79">
        <f t="shared" si="16"/>
        <v>208982.85000000006</v>
      </c>
      <c r="L175" s="85">
        <f t="shared" si="23"/>
        <v>721.32784552845578</v>
      </c>
      <c r="M175" s="79">
        <f t="shared" si="24"/>
        <v>512265.95930000005</v>
      </c>
    </row>
    <row r="176" spans="1:15" x14ac:dyDescent="0.2">
      <c r="A176" s="83">
        <v>40839</v>
      </c>
      <c r="B176" s="79">
        <v>0</v>
      </c>
      <c r="C176" s="79">
        <v>0</v>
      </c>
      <c r="D176" s="95">
        <v>4989.4399999999996</v>
      </c>
      <c r="E176" s="28">
        <f t="shared" si="21"/>
        <v>249.47199999999998</v>
      </c>
      <c r="F176" s="79">
        <f t="shared" si="18"/>
        <v>4989.4399999999996</v>
      </c>
      <c r="G176" s="79">
        <f t="shared" si="19"/>
        <v>5038.0724999999993</v>
      </c>
      <c r="H176" s="79">
        <f t="shared" si="20"/>
        <v>4376.6053846153845</v>
      </c>
      <c r="I176" s="79">
        <f>AVERAGE($F$135:F176)</f>
        <v>4343.7164285714316</v>
      </c>
      <c r="J176" s="84">
        <f t="shared" si="22"/>
        <v>225873.25428571444</v>
      </c>
      <c r="K176" s="79">
        <f t="shared" si="16"/>
        <v>211814.93000000008</v>
      </c>
      <c r="L176" s="85">
        <f t="shared" si="23"/>
        <v>723.9527380952386</v>
      </c>
      <c r="M176" s="79">
        <f t="shared" si="24"/>
        <v>517255.39930000005</v>
      </c>
    </row>
    <row r="177" spans="1:16" x14ac:dyDescent="0.2">
      <c r="A177" s="83">
        <v>40846</v>
      </c>
      <c r="B177" s="79">
        <v>0</v>
      </c>
      <c r="C177" s="79">
        <v>0</v>
      </c>
      <c r="D177" s="95">
        <v>2403.38</v>
      </c>
      <c r="E177" s="28">
        <f t="shared" si="21"/>
        <v>120.16900000000001</v>
      </c>
      <c r="F177" s="79">
        <f t="shared" si="18"/>
        <v>2403.38</v>
      </c>
      <c r="G177" s="79">
        <f t="shared" si="19"/>
        <v>4514.6175000000003</v>
      </c>
      <c r="H177" s="79">
        <f t="shared" si="20"/>
        <v>4307.2361538461537</v>
      </c>
      <c r="I177" s="79">
        <f>AVERAGE($F$135:F177)</f>
        <v>4298.5923255813977</v>
      </c>
      <c r="J177" s="84">
        <f t="shared" si="22"/>
        <v>223526.80093023268</v>
      </c>
      <c r="K177" s="79">
        <f t="shared" si="16"/>
        <v>210548.38000000009</v>
      </c>
      <c r="L177" s="85">
        <f t="shared" si="23"/>
        <v>716.43205426356633</v>
      </c>
      <c r="M177" s="79">
        <f t="shared" si="24"/>
        <v>519658.77930000005</v>
      </c>
    </row>
    <row r="178" spans="1:16" x14ac:dyDescent="0.2">
      <c r="A178" s="83">
        <v>40853</v>
      </c>
      <c r="B178" s="79">
        <v>0</v>
      </c>
      <c r="C178" s="79">
        <v>0</v>
      </c>
      <c r="D178" s="95">
        <v>3473.63</v>
      </c>
      <c r="E178" s="28">
        <f t="shared" si="21"/>
        <v>173.68150000000003</v>
      </c>
      <c r="F178" s="79">
        <f t="shared" si="18"/>
        <v>3473.63</v>
      </c>
      <c r="G178" s="79">
        <f t="shared" si="19"/>
        <v>3878.8975</v>
      </c>
      <c r="H178" s="79">
        <f t="shared" si="20"/>
        <v>4286.8507692307694</v>
      </c>
      <c r="I178" s="79">
        <f>AVERAGE($F$135:F178)</f>
        <v>4279.8431818181843</v>
      </c>
      <c r="J178" s="84">
        <f t="shared" si="22"/>
        <v>222551.84545454558</v>
      </c>
      <c r="K178" s="79">
        <f t="shared" si="16"/>
        <v>211907.65000000008</v>
      </c>
      <c r="L178" s="85">
        <f t="shared" si="23"/>
        <v>713.30719696969743</v>
      </c>
      <c r="M178" s="79">
        <f t="shared" si="24"/>
        <v>523132.40930000006</v>
      </c>
    </row>
    <row r="179" spans="1:16" x14ac:dyDescent="0.2">
      <c r="A179" s="83">
        <v>40860</v>
      </c>
      <c r="B179" s="79">
        <v>0</v>
      </c>
      <c r="C179" s="79">
        <v>0</v>
      </c>
      <c r="D179" s="95">
        <v>3929.12</v>
      </c>
      <c r="E179" s="28">
        <f t="shared" si="21"/>
        <v>196.45600000000002</v>
      </c>
      <c r="F179" s="79">
        <f t="shared" si="18"/>
        <v>3929.12</v>
      </c>
      <c r="G179" s="79">
        <f t="shared" si="19"/>
        <v>3698.8924999999999</v>
      </c>
      <c r="H179" s="79">
        <f t="shared" si="20"/>
        <v>4295.4276923076923</v>
      </c>
      <c r="I179" s="79">
        <f>AVERAGE($F$135:F179)</f>
        <v>4272.0493333333361</v>
      </c>
      <c r="J179" s="84">
        <f t="shared" si="22"/>
        <v>222146.56533333348</v>
      </c>
      <c r="K179" s="79">
        <f t="shared" si="16"/>
        <v>212190.63000000006</v>
      </c>
      <c r="L179" s="85">
        <f t="shared" si="23"/>
        <v>712.00822222222268</v>
      </c>
      <c r="M179" s="79">
        <f t="shared" si="24"/>
        <v>527061.52930000005</v>
      </c>
    </row>
    <row r="180" spans="1:16" x14ac:dyDescent="0.2">
      <c r="A180" s="83">
        <v>40867</v>
      </c>
      <c r="B180" s="79">
        <v>0</v>
      </c>
      <c r="C180" s="79">
        <v>0</v>
      </c>
      <c r="D180" s="95">
        <v>3619.49</v>
      </c>
      <c r="E180" s="28">
        <f t="shared" si="21"/>
        <v>180.97450000000001</v>
      </c>
      <c r="F180" s="79">
        <f t="shared" si="18"/>
        <v>3619.49</v>
      </c>
      <c r="G180" s="79">
        <f t="shared" si="19"/>
        <v>3356.4050000000002</v>
      </c>
      <c r="H180" s="79">
        <f t="shared" si="20"/>
        <v>4250.6461538461535</v>
      </c>
      <c r="I180" s="79">
        <f>AVERAGE($F$135:F180)</f>
        <v>4257.863260869568</v>
      </c>
      <c r="J180" s="84">
        <f t="shared" si="22"/>
        <v>221408.88956521754</v>
      </c>
      <c r="K180" s="79">
        <f t="shared" si="16"/>
        <v>210730.78000000006</v>
      </c>
      <c r="L180" s="85">
        <f t="shared" si="23"/>
        <v>709.64387681159462</v>
      </c>
      <c r="M180" s="79">
        <f t="shared" si="24"/>
        <v>530681.01930000004</v>
      </c>
    </row>
    <row r="181" spans="1:16" x14ac:dyDescent="0.2">
      <c r="A181" s="83">
        <v>40874</v>
      </c>
      <c r="B181" s="79">
        <v>0</v>
      </c>
      <c r="C181" s="79">
        <v>0</v>
      </c>
      <c r="D181" s="95">
        <v>2306.5700000000002</v>
      </c>
      <c r="E181" s="28">
        <f t="shared" si="21"/>
        <v>115.32850000000002</v>
      </c>
      <c r="F181" s="79">
        <f t="shared" si="18"/>
        <v>2306.5700000000002</v>
      </c>
      <c r="G181" s="79">
        <f t="shared" si="19"/>
        <v>3332.2024999999999</v>
      </c>
      <c r="H181" s="79">
        <f t="shared" si="20"/>
        <v>4187.2576923076922</v>
      </c>
      <c r="I181" s="79">
        <f>AVERAGE($F$135:F181)</f>
        <v>4216.3463829787261</v>
      </c>
      <c r="J181" s="84">
        <f t="shared" si="22"/>
        <v>219250.01191489375</v>
      </c>
      <c r="K181" s="79">
        <f t="shared" si="16"/>
        <v>210059.95000000007</v>
      </c>
      <c r="L181" s="85">
        <f t="shared" si="23"/>
        <v>702.72439716312101</v>
      </c>
      <c r="M181" s="79">
        <f t="shared" si="24"/>
        <v>532987.58929999999</v>
      </c>
    </row>
    <row r="182" spans="1:16" x14ac:dyDescent="0.2">
      <c r="A182" s="83">
        <v>40881</v>
      </c>
      <c r="B182" s="79">
        <v>0</v>
      </c>
      <c r="C182" s="79">
        <v>0</v>
      </c>
      <c r="D182" s="95">
        <v>3846.33</v>
      </c>
      <c r="E182" s="28">
        <f t="shared" si="21"/>
        <v>192.31650000000002</v>
      </c>
      <c r="F182" s="79">
        <f t="shared" si="18"/>
        <v>3846.33</v>
      </c>
      <c r="G182" s="79">
        <f t="shared" si="19"/>
        <v>3425.3775000000001</v>
      </c>
      <c r="H182" s="79">
        <f t="shared" si="20"/>
        <v>4091.3615384615382</v>
      </c>
      <c r="I182" s="79">
        <f>AVERAGE($F$135:F182)</f>
        <v>4208.6377083333355</v>
      </c>
      <c r="J182" s="84">
        <f t="shared" si="22"/>
        <v>218849.16083333344</v>
      </c>
      <c r="K182" s="79">
        <f t="shared" si="16"/>
        <v>211568.38000000006</v>
      </c>
      <c r="L182" s="85">
        <f t="shared" si="23"/>
        <v>701.43961805555591</v>
      </c>
      <c r="M182" s="79">
        <f t="shared" si="24"/>
        <v>536833.91929999995</v>
      </c>
    </row>
    <row r="183" spans="1:16" x14ac:dyDescent="0.2">
      <c r="A183" s="83">
        <v>40888</v>
      </c>
      <c r="B183" s="79">
        <v>0</v>
      </c>
      <c r="C183" s="79">
        <v>0</v>
      </c>
      <c r="D183" s="95">
        <v>1999.83</v>
      </c>
      <c r="E183" s="28">
        <f t="shared" si="21"/>
        <v>99.991500000000002</v>
      </c>
      <c r="F183" s="79">
        <f t="shared" si="18"/>
        <v>1999.83</v>
      </c>
      <c r="G183" s="79">
        <f t="shared" si="19"/>
        <v>2943.0549999999998</v>
      </c>
      <c r="H183" s="79">
        <f t="shared" si="20"/>
        <v>3881.4946153846154</v>
      </c>
      <c r="I183" s="79">
        <f>AVERAGE($F$135:F183)</f>
        <v>4163.5600000000022</v>
      </c>
      <c r="J183" s="84">
        <f t="shared" si="22"/>
        <v>216505.12000000011</v>
      </c>
      <c r="K183" s="79">
        <f t="shared" ref="K183:K246" si="25">SUM(F132:F183)</f>
        <v>211019.07000000007</v>
      </c>
      <c r="L183" s="85">
        <f t="shared" si="23"/>
        <v>693.92666666666707</v>
      </c>
      <c r="M183" s="79">
        <f t="shared" si="24"/>
        <v>538833.74929999991</v>
      </c>
      <c r="O183" s="85">
        <f>+N186*0.95</f>
        <v>713.58669038461574</v>
      </c>
      <c r="P183" s="99">
        <v>0.95</v>
      </c>
    </row>
    <row r="184" spans="1:16" x14ac:dyDescent="0.2">
      <c r="A184" s="83">
        <v>40895</v>
      </c>
      <c r="B184" s="79">
        <v>0</v>
      </c>
      <c r="C184" s="79">
        <v>0</v>
      </c>
      <c r="D184" s="95">
        <v>1958.94</v>
      </c>
      <c r="E184" s="28">
        <f t="shared" si="21"/>
        <v>97.947000000000003</v>
      </c>
      <c r="F184" s="79">
        <f t="shared" si="18"/>
        <v>1958.94</v>
      </c>
      <c r="G184" s="79">
        <f t="shared" si="19"/>
        <v>2527.9175</v>
      </c>
      <c r="H184" s="79">
        <f t="shared" si="20"/>
        <v>3720.3215384615391</v>
      </c>
      <c r="I184" s="79">
        <f>AVERAGE($F$135:F184)</f>
        <v>4119.4676000000018</v>
      </c>
      <c r="J184" s="84">
        <f t="shared" si="22"/>
        <v>214212.3152000001</v>
      </c>
      <c r="K184" s="79">
        <f t="shared" si="25"/>
        <v>210756.71000000008</v>
      </c>
      <c r="L184" s="85">
        <f t="shared" si="23"/>
        <v>686.57793333333359</v>
      </c>
      <c r="M184" s="79">
        <f t="shared" si="24"/>
        <v>540792.68929999985</v>
      </c>
      <c r="O184" s="85">
        <f>+N186*1</f>
        <v>751.14388461538499</v>
      </c>
      <c r="P184" s="99">
        <v>1</v>
      </c>
    </row>
    <row r="185" spans="1:16" x14ac:dyDescent="0.2">
      <c r="A185" s="83">
        <v>40902</v>
      </c>
      <c r="B185" s="79">
        <v>0</v>
      </c>
      <c r="C185" s="79">
        <v>0</v>
      </c>
      <c r="D185" s="95">
        <v>2466.0700000000002</v>
      </c>
      <c r="E185" s="28">
        <f t="shared" si="21"/>
        <v>123.30350000000001</v>
      </c>
      <c r="F185" s="79">
        <f t="shared" si="18"/>
        <v>2466.0700000000002</v>
      </c>
      <c r="G185" s="79">
        <f t="shared" si="19"/>
        <v>2567.7925</v>
      </c>
      <c r="H185" s="79">
        <f t="shared" si="20"/>
        <v>3550.4346153846154</v>
      </c>
      <c r="I185" s="79">
        <f>AVERAGE($F$135:F185)</f>
        <v>4087.0480392156883</v>
      </c>
      <c r="J185" s="84">
        <f t="shared" si="22"/>
        <v>212526.4980392158</v>
      </c>
      <c r="K185" s="79">
        <f t="shared" si="25"/>
        <v>210236.72000000009</v>
      </c>
      <c r="L185" s="85">
        <f t="shared" si="23"/>
        <v>681.17467320261471</v>
      </c>
      <c r="M185" s="79">
        <f t="shared" si="24"/>
        <v>543258.7592999998</v>
      </c>
      <c r="O185" s="85">
        <f>+N186*1.05</f>
        <v>788.70107884615425</v>
      </c>
      <c r="P185" s="99">
        <v>1.05</v>
      </c>
    </row>
    <row r="186" spans="1:16" x14ac:dyDescent="0.2">
      <c r="A186" s="83">
        <v>40909</v>
      </c>
      <c r="B186" s="79">
        <v>0</v>
      </c>
      <c r="C186" s="79">
        <v>0</v>
      </c>
      <c r="D186" s="95">
        <v>4612.2700000000004</v>
      </c>
      <c r="E186" s="28">
        <f t="shared" si="21"/>
        <v>230.61350000000004</v>
      </c>
      <c r="F186" s="79">
        <f t="shared" si="18"/>
        <v>4612.2700000000004</v>
      </c>
      <c r="G186" s="79">
        <f t="shared" si="19"/>
        <v>2759.2775000000001</v>
      </c>
      <c r="H186" s="79">
        <f t="shared" si="20"/>
        <v>3559.2861538461539</v>
      </c>
      <c r="I186" s="79">
        <f>AVERAGE($F$135:F186)</f>
        <v>4097.1484615384634</v>
      </c>
      <c r="J186" s="84">
        <f t="shared" si="22"/>
        <v>213051.72000000009</v>
      </c>
      <c r="K186" s="92">
        <f t="shared" si="25"/>
        <v>213051.72000000009</v>
      </c>
      <c r="L186" s="93">
        <f t="shared" si="23"/>
        <v>682.85807692307719</v>
      </c>
      <c r="M186" s="79">
        <f t="shared" si="24"/>
        <v>547871.02929999982</v>
      </c>
      <c r="N186" s="85">
        <f>+L186*1.1</f>
        <v>751.14388461538499</v>
      </c>
      <c r="O186" s="85">
        <f>+N186*1.1</f>
        <v>826.2582730769235</v>
      </c>
      <c r="P186" s="99">
        <v>1.1000000000000001</v>
      </c>
    </row>
    <row r="187" spans="1:16" x14ac:dyDescent="0.2">
      <c r="A187" s="83">
        <v>40916</v>
      </c>
      <c r="B187" s="79">
        <v>0</v>
      </c>
      <c r="C187" s="79">
        <v>0</v>
      </c>
      <c r="D187" s="95">
        <v>4625.3599999999997</v>
      </c>
      <c r="E187" s="28">
        <f t="shared" si="21"/>
        <v>231.268</v>
      </c>
      <c r="F187" s="79">
        <f t="shared" si="18"/>
        <v>4625.3599999999997</v>
      </c>
      <c r="G187" s="79">
        <f t="shared" si="19"/>
        <v>3415.66</v>
      </c>
      <c r="H187" s="79">
        <f t="shared" si="20"/>
        <v>3452.274615384616</v>
      </c>
      <c r="I187" s="79">
        <f>AVERAGE($F$187:F187)</f>
        <v>4625.3599999999997</v>
      </c>
      <c r="J187" s="84">
        <f t="shared" si="22"/>
        <v>240518.71999999997</v>
      </c>
      <c r="K187" s="79">
        <f t="shared" si="25"/>
        <v>214037.41000000006</v>
      </c>
      <c r="L187" s="85">
        <f t="shared" si="23"/>
        <v>770.89333333333332</v>
      </c>
      <c r="M187" s="79">
        <f t="shared" si="24"/>
        <v>552496.38929999981</v>
      </c>
      <c r="N187" s="100" t="s">
        <v>153</v>
      </c>
      <c r="O187" s="85">
        <f>+N186*1.15</f>
        <v>863.81546730769264</v>
      </c>
      <c r="P187" s="99">
        <v>1.1499999999999999</v>
      </c>
    </row>
    <row r="188" spans="1:16" x14ac:dyDescent="0.2">
      <c r="A188" s="83">
        <v>40923</v>
      </c>
      <c r="B188" s="79">
        <v>0</v>
      </c>
      <c r="C188" s="79">
        <v>0</v>
      </c>
      <c r="D188" s="95">
        <v>3780.64</v>
      </c>
      <c r="E188" s="28">
        <f t="shared" si="21"/>
        <v>189.03200000000001</v>
      </c>
      <c r="F188" s="79">
        <f t="shared" si="18"/>
        <v>3780.64</v>
      </c>
      <c r="G188" s="79">
        <f t="shared" si="19"/>
        <v>3871.085</v>
      </c>
      <c r="H188" s="79">
        <f t="shared" si="20"/>
        <v>3385.4669230769232</v>
      </c>
      <c r="I188" s="79">
        <f>AVERAGE($F$187:F188)</f>
        <v>4203</v>
      </c>
      <c r="J188" s="84">
        <f t="shared" si="22"/>
        <v>218556</v>
      </c>
      <c r="K188" s="79">
        <f t="shared" si="25"/>
        <v>215609.83000000007</v>
      </c>
      <c r="L188" s="85">
        <f t="shared" si="23"/>
        <v>700.5</v>
      </c>
      <c r="M188" s="79">
        <f t="shared" si="24"/>
        <v>556277.02929999982</v>
      </c>
      <c r="N188" s="100" t="s">
        <v>154</v>
      </c>
      <c r="O188" s="85">
        <f>+N186*1.2</f>
        <v>901.37266153846201</v>
      </c>
      <c r="P188" s="99">
        <v>1.2</v>
      </c>
    </row>
    <row r="189" spans="1:16" x14ac:dyDescent="0.2">
      <c r="A189" s="83">
        <v>40930</v>
      </c>
      <c r="B189" s="79">
        <v>0</v>
      </c>
      <c r="C189" s="79">
        <v>0</v>
      </c>
      <c r="D189" s="95">
        <v>4104.0200000000004</v>
      </c>
      <c r="E189" s="28">
        <f t="shared" si="21"/>
        <v>205.20100000000002</v>
      </c>
      <c r="F189" s="79">
        <f t="shared" si="18"/>
        <v>4104.0200000000004</v>
      </c>
      <c r="G189" s="79">
        <f t="shared" si="19"/>
        <v>4280.5725000000002</v>
      </c>
      <c r="H189" s="79">
        <f t="shared" si="20"/>
        <v>3317.3576923076917</v>
      </c>
      <c r="I189" s="79">
        <f>AVERAGE($F$187:F189)</f>
        <v>4170.0066666666671</v>
      </c>
      <c r="J189" s="84">
        <f t="shared" si="22"/>
        <v>216840.34666666668</v>
      </c>
      <c r="K189" s="79">
        <f t="shared" si="25"/>
        <v>217637.44000000006</v>
      </c>
      <c r="L189" s="85">
        <f t="shared" si="23"/>
        <v>695.00111111111119</v>
      </c>
      <c r="M189" s="79">
        <f>+M188+F189</f>
        <v>560381.04929999984</v>
      </c>
      <c r="O189" s="85">
        <f>+N186*1.25</f>
        <v>938.92985576923127</v>
      </c>
      <c r="P189" s="99">
        <v>1.25</v>
      </c>
    </row>
    <row r="190" spans="1:16" x14ac:dyDescent="0.2">
      <c r="A190" s="83">
        <v>40937</v>
      </c>
      <c r="B190" s="79">
        <v>0</v>
      </c>
      <c r="C190" s="79">
        <v>0</v>
      </c>
      <c r="D190" s="95">
        <v>5458.79</v>
      </c>
      <c r="E190" s="28">
        <f t="shared" si="21"/>
        <v>272.93950000000001</v>
      </c>
      <c r="F190" s="79">
        <f t="shared" si="18"/>
        <v>5458.79</v>
      </c>
      <c r="G190" s="79">
        <f t="shared" si="19"/>
        <v>4492.2025000000003</v>
      </c>
      <c r="H190" s="79">
        <f t="shared" si="20"/>
        <v>3552.3892307692313</v>
      </c>
      <c r="I190" s="79">
        <f>AVERAGE($F$187:F190)</f>
        <v>4492.2025000000003</v>
      </c>
      <c r="J190" s="84">
        <f t="shared" si="22"/>
        <v>233594.53000000003</v>
      </c>
      <c r="K190" s="79">
        <f t="shared" si="25"/>
        <v>218566.28000000006</v>
      </c>
      <c r="L190" s="85">
        <f t="shared" si="23"/>
        <v>748.70041666666668</v>
      </c>
      <c r="M190" s="79">
        <f>+M189+F190</f>
        <v>565839.83929999988</v>
      </c>
    </row>
    <row r="191" spans="1:16" x14ac:dyDescent="0.2">
      <c r="A191" s="83">
        <v>40944</v>
      </c>
      <c r="B191" s="79">
        <v>0</v>
      </c>
      <c r="C191" s="79">
        <v>0</v>
      </c>
      <c r="D191" s="95">
        <v>4507.26</v>
      </c>
      <c r="E191" s="28">
        <f t="shared" si="21"/>
        <v>225.36300000000003</v>
      </c>
      <c r="F191" s="79">
        <f t="shared" si="18"/>
        <v>4507.26</v>
      </c>
      <c r="G191" s="79">
        <f t="shared" si="19"/>
        <v>4462.6774999999998</v>
      </c>
      <c r="H191" s="79">
        <f t="shared" si="20"/>
        <v>3631.8992307692311</v>
      </c>
      <c r="I191" s="79">
        <f>AVERAGE($F$187:F191)</f>
        <v>4495.2139999999999</v>
      </c>
      <c r="J191" s="84">
        <f t="shared" si="22"/>
        <v>233751.128</v>
      </c>
      <c r="K191" s="79">
        <f t="shared" si="25"/>
        <v>219967.31000000006</v>
      </c>
      <c r="L191" s="85">
        <f t="shared" si="23"/>
        <v>749.20233333333329</v>
      </c>
      <c r="M191" s="79">
        <f>+M190+F191</f>
        <v>570347.09929999989</v>
      </c>
      <c r="N191" s="101" t="s">
        <v>155</v>
      </c>
      <c r="O191" s="85">
        <f>+N186*1.17953</f>
        <v>885.99674622038503</v>
      </c>
      <c r="P191" s="99">
        <v>1.18</v>
      </c>
    </row>
    <row r="192" spans="1:16" x14ac:dyDescent="0.2">
      <c r="A192" s="83">
        <v>40951</v>
      </c>
      <c r="B192" s="79">
        <v>0</v>
      </c>
      <c r="C192" s="79">
        <v>0</v>
      </c>
      <c r="D192" s="95">
        <v>5169.7</v>
      </c>
      <c r="E192" s="28">
        <f t="shared" si="21"/>
        <v>258.48500000000001</v>
      </c>
      <c r="F192" s="79">
        <f t="shared" si="18"/>
        <v>5169.7</v>
      </c>
      <c r="G192" s="79">
        <f t="shared" si="19"/>
        <v>4809.9425000000001</v>
      </c>
      <c r="H192" s="79">
        <f t="shared" si="20"/>
        <v>3727.3284615384619</v>
      </c>
      <c r="I192" s="79">
        <f>AVERAGE($F$187:F192)</f>
        <v>4607.6283333333331</v>
      </c>
      <c r="J192" s="84">
        <f t="shared" si="22"/>
        <v>239596.67333333331</v>
      </c>
      <c r="K192" s="79">
        <f t="shared" si="25"/>
        <v>221338.45000000004</v>
      </c>
      <c r="L192" s="85">
        <f t="shared" si="23"/>
        <v>767.93805555555548</v>
      </c>
      <c r="M192" s="79">
        <f t="shared" ref="M192:M255" si="26">+M191+F192</f>
        <v>575516.79929999984</v>
      </c>
      <c r="N192" s="101" t="s">
        <v>156</v>
      </c>
      <c r="O192" s="85">
        <f>682.86*1.29749</f>
        <v>886.00402140000006</v>
      </c>
      <c r="P192" s="99">
        <v>1.3</v>
      </c>
    </row>
    <row r="193" spans="1:13" x14ac:dyDescent="0.2">
      <c r="A193" s="83">
        <v>40958</v>
      </c>
      <c r="B193" s="79">
        <v>0</v>
      </c>
      <c r="C193" s="79">
        <v>0</v>
      </c>
      <c r="D193" s="95">
        <v>4554.07</v>
      </c>
      <c r="E193" s="28">
        <f t="shared" si="21"/>
        <v>227.70349999999999</v>
      </c>
      <c r="F193" s="79">
        <f t="shared" si="18"/>
        <v>4554.07</v>
      </c>
      <c r="G193" s="79">
        <f t="shared" si="19"/>
        <v>4922.4549999999999</v>
      </c>
      <c r="H193" s="79">
        <f t="shared" si="20"/>
        <v>3799.2192307692308</v>
      </c>
      <c r="I193" s="79">
        <f>AVERAGE($F$187:F193)</f>
        <v>4599.977142857143</v>
      </c>
      <c r="J193" s="84">
        <f t="shared" si="22"/>
        <v>239198.81142857144</v>
      </c>
      <c r="K193" s="79">
        <f t="shared" si="25"/>
        <v>220504.70000000007</v>
      </c>
      <c r="L193" s="85">
        <f t="shared" si="23"/>
        <v>766.66285714285721</v>
      </c>
      <c r="M193" s="79">
        <f t="shared" si="26"/>
        <v>580070.86929999979</v>
      </c>
    </row>
    <row r="194" spans="1:13" x14ac:dyDescent="0.2">
      <c r="A194" s="83">
        <v>40965</v>
      </c>
      <c r="B194" s="79">
        <v>0</v>
      </c>
      <c r="C194" s="79">
        <v>0</v>
      </c>
      <c r="D194" s="95">
        <v>6285.53</v>
      </c>
      <c r="E194" s="28">
        <f t="shared" si="21"/>
        <v>314.2765</v>
      </c>
      <c r="F194" s="79">
        <f t="shared" si="18"/>
        <v>6285.53</v>
      </c>
      <c r="G194" s="79">
        <f t="shared" si="19"/>
        <v>5129.1399999999994</v>
      </c>
      <c r="H194" s="79">
        <f t="shared" si="20"/>
        <v>4105.293076923077</v>
      </c>
      <c r="I194" s="79">
        <f>AVERAGE($F$187:F194)</f>
        <v>4810.6712500000003</v>
      </c>
      <c r="J194" s="84">
        <f t="shared" si="22"/>
        <v>250154.90500000003</v>
      </c>
      <c r="K194" s="79">
        <f t="shared" si="25"/>
        <v>221681.78000000006</v>
      </c>
      <c r="L194" s="85">
        <f t="shared" si="23"/>
        <v>801.77854166666668</v>
      </c>
      <c r="M194" s="79">
        <f t="shared" si="26"/>
        <v>586356.39929999982</v>
      </c>
    </row>
    <row r="195" spans="1:13" x14ac:dyDescent="0.2">
      <c r="A195" s="83">
        <v>40972</v>
      </c>
      <c r="B195" s="79">
        <v>0</v>
      </c>
      <c r="C195" s="79">
        <v>0</v>
      </c>
      <c r="D195" s="95">
        <v>7084.53</v>
      </c>
      <c r="E195" s="28">
        <f t="shared" si="21"/>
        <v>354.22649999999999</v>
      </c>
      <c r="F195" s="79">
        <f t="shared" si="18"/>
        <v>7084.53</v>
      </c>
      <c r="G195" s="79">
        <f t="shared" si="19"/>
        <v>5773.4574999999995</v>
      </c>
      <c r="H195" s="79">
        <f t="shared" si="20"/>
        <v>4354.3853846153843</v>
      </c>
      <c r="I195" s="79">
        <f>AVERAGE($F$187:F195)</f>
        <v>5063.3222222222221</v>
      </c>
      <c r="J195" s="84">
        <f t="shared" si="22"/>
        <v>263292.75555555557</v>
      </c>
      <c r="K195" s="79">
        <f t="shared" si="25"/>
        <v>224063.21000000002</v>
      </c>
      <c r="L195" s="85">
        <f t="shared" si="23"/>
        <v>843.88703703703698</v>
      </c>
      <c r="M195" s="79">
        <f t="shared" si="26"/>
        <v>593440.92929999984</v>
      </c>
    </row>
    <row r="196" spans="1:13" x14ac:dyDescent="0.2">
      <c r="A196" s="83">
        <v>40979</v>
      </c>
      <c r="B196" s="79">
        <v>0</v>
      </c>
      <c r="C196" s="79">
        <v>0</v>
      </c>
      <c r="D196" s="95">
        <v>8473.66</v>
      </c>
      <c r="E196" s="28">
        <f t="shared" si="21"/>
        <v>423.68299999999999</v>
      </c>
      <c r="F196" s="79">
        <f t="shared" ref="F196:F259" si="27">SUM(B196:D196)</f>
        <v>8473.66</v>
      </c>
      <c r="G196" s="79">
        <f t="shared" si="19"/>
        <v>6599.4474999999993</v>
      </c>
      <c r="H196" s="79">
        <f t="shared" si="20"/>
        <v>4852.372307692307</v>
      </c>
      <c r="I196" s="79">
        <f>AVERAGE($F$187:F196)</f>
        <v>5404.3559999999998</v>
      </c>
      <c r="J196" s="84">
        <f t="shared" si="22"/>
        <v>281026.51199999999</v>
      </c>
      <c r="K196" s="79">
        <f t="shared" si="25"/>
        <v>227220.25000000003</v>
      </c>
      <c r="L196" s="85">
        <f t="shared" si="23"/>
        <v>900.726</v>
      </c>
      <c r="M196" s="79">
        <f t="shared" si="26"/>
        <v>601914.58929999988</v>
      </c>
    </row>
    <row r="197" spans="1:13" x14ac:dyDescent="0.2">
      <c r="A197" s="83">
        <v>40986</v>
      </c>
      <c r="B197" s="79">
        <v>0</v>
      </c>
      <c r="C197" s="79">
        <v>0</v>
      </c>
      <c r="D197" s="95">
        <v>8654.56</v>
      </c>
      <c r="E197" s="28">
        <f t="shared" si="21"/>
        <v>432.72800000000001</v>
      </c>
      <c r="F197" s="79">
        <f t="shared" si="27"/>
        <v>8654.56</v>
      </c>
      <c r="G197" s="79">
        <f t="shared" si="19"/>
        <v>7624.57</v>
      </c>
      <c r="H197" s="79">
        <f t="shared" si="20"/>
        <v>5367.4199999999992</v>
      </c>
      <c r="I197" s="79">
        <f>AVERAGE($F$187:F197)</f>
        <v>5699.8290909090902</v>
      </c>
      <c r="J197" s="84">
        <f t="shared" si="22"/>
        <v>296391.11272727267</v>
      </c>
      <c r="K197" s="79">
        <f t="shared" si="25"/>
        <v>232281.94</v>
      </c>
      <c r="L197" s="85">
        <f t="shared" si="23"/>
        <v>949.97151515151506</v>
      </c>
      <c r="M197" s="79">
        <f t="shared" si="26"/>
        <v>610569.14929999993</v>
      </c>
    </row>
    <row r="198" spans="1:13" x14ac:dyDescent="0.2">
      <c r="A198" s="83">
        <v>40993</v>
      </c>
      <c r="B198" s="79">
        <v>0</v>
      </c>
      <c r="C198" s="79">
        <v>0</v>
      </c>
      <c r="D198" s="95">
        <v>5057.67</v>
      </c>
      <c r="E198" s="28">
        <f t="shared" si="21"/>
        <v>252.88350000000003</v>
      </c>
      <c r="F198" s="79">
        <f t="shared" si="27"/>
        <v>5057.67</v>
      </c>
      <c r="G198" s="79">
        <f t="shared" si="19"/>
        <v>7317.6049999999996</v>
      </c>
      <c r="H198" s="79">
        <f t="shared" si="20"/>
        <v>5566.7738461538456</v>
      </c>
      <c r="I198" s="79">
        <f>AVERAGE($F$187:F198)</f>
        <v>5646.3158333333331</v>
      </c>
      <c r="J198" s="84">
        <f t="shared" si="22"/>
        <v>293608.42333333334</v>
      </c>
      <c r="K198" s="79">
        <f t="shared" si="25"/>
        <v>231666.88999999998</v>
      </c>
      <c r="L198" s="85">
        <f t="shared" si="23"/>
        <v>941.05263888888885</v>
      </c>
      <c r="M198" s="79">
        <f t="shared" si="26"/>
        <v>615626.81929999997</v>
      </c>
    </row>
    <row r="199" spans="1:13" x14ac:dyDescent="0.2">
      <c r="A199" s="83">
        <v>41000</v>
      </c>
      <c r="B199" s="79">
        <v>0</v>
      </c>
      <c r="C199" s="79">
        <v>0</v>
      </c>
      <c r="D199" s="95">
        <v>5062.13</v>
      </c>
      <c r="E199" s="28">
        <f t="shared" si="21"/>
        <v>253.10650000000001</v>
      </c>
      <c r="F199" s="79">
        <f t="shared" si="27"/>
        <v>5062.13</v>
      </c>
      <c r="G199" s="79">
        <f t="shared" ref="G199:G262" si="28">AVERAGE(F196:F199)</f>
        <v>6812.0050000000001</v>
      </c>
      <c r="H199" s="79">
        <f t="shared" si="20"/>
        <v>5601.3784615384611</v>
      </c>
      <c r="I199" s="79">
        <f>AVERAGE($F$187:F199)</f>
        <v>5601.3784615384611</v>
      </c>
      <c r="J199" s="84">
        <f t="shared" si="22"/>
        <v>291271.67999999999</v>
      </c>
      <c r="K199" s="79">
        <f t="shared" si="25"/>
        <v>231231.34</v>
      </c>
      <c r="L199" s="85">
        <f t="shared" si="23"/>
        <v>933.56307692307689</v>
      </c>
      <c r="M199" s="79">
        <f t="shared" si="26"/>
        <v>620688.94929999998</v>
      </c>
    </row>
    <row r="200" spans="1:13" x14ac:dyDescent="0.2">
      <c r="A200" s="83">
        <v>41007</v>
      </c>
      <c r="B200" s="79">
        <v>0</v>
      </c>
      <c r="C200" s="79">
        <v>0</v>
      </c>
      <c r="D200" s="95">
        <v>7083.35</v>
      </c>
      <c r="E200" s="28">
        <f t="shared" si="21"/>
        <v>354.16750000000002</v>
      </c>
      <c r="F200" s="79">
        <f t="shared" si="27"/>
        <v>7083.35</v>
      </c>
      <c r="G200" s="79">
        <f t="shared" si="28"/>
        <v>6464.4274999999998</v>
      </c>
      <c r="H200" s="79">
        <f t="shared" si="20"/>
        <v>5790.4546153846159</v>
      </c>
      <c r="I200" s="79">
        <f>AVERAGE($F$187:F200)</f>
        <v>5707.2335714285718</v>
      </c>
      <c r="J200" s="84">
        <f t="shared" si="22"/>
        <v>296776.14571428573</v>
      </c>
      <c r="K200" s="79">
        <f t="shared" si="25"/>
        <v>232935.85</v>
      </c>
      <c r="L200" s="85">
        <f t="shared" si="23"/>
        <v>951.20559523809527</v>
      </c>
      <c r="M200" s="79">
        <f t="shared" si="26"/>
        <v>627772.29929999996</v>
      </c>
    </row>
    <row r="201" spans="1:13" x14ac:dyDescent="0.2">
      <c r="A201" s="83">
        <v>41014</v>
      </c>
      <c r="B201" s="79">
        <v>0</v>
      </c>
      <c r="C201" s="79">
        <v>0</v>
      </c>
      <c r="D201" s="95">
        <v>8543.08</v>
      </c>
      <c r="E201" s="28">
        <f t="shared" si="21"/>
        <v>427.154</v>
      </c>
      <c r="F201" s="79">
        <f t="shared" si="27"/>
        <v>8543.08</v>
      </c>
      <c r="G201" s="79">
        <f t="shared" si="28"/>
        <v>6436.5575000000008</v>
      </c>
      <c r="H201" s="79">
        <f t="shared" si="20"/>
        <v>6156.7961538461532</v>
      </c>
      <c r="I201" s="79">
        <f>AVERAGE($F$187:F201)</f>
        <v>5896.29</v>
      </c>
      <c r="J201" s="84">
        <f t="shared" si="22"/>
        <v>306607.08</v>
      </c>
      <c r="K201" s="79">
        <f t="shared" si="25"/>
        <v>234273.43000000002</v>
      </c>
      <c r="L201" s="85">
        <f t="shared" si="23"/>
        <v>982.71500000000003</v>
      </c>
      <c r="M201" s="79">
        <f t="shared" si="26"/>
        <v>636315.37929999991</v>
      </c>
    </row>
    <row r="202" spans="1:13" x14ac:dyDescent="0.2">
      <c r="A202" s="83">
        <v>41021</v>
      </c>
      <c r="B202" s="79">
        <v>0</v>
      </c>
      <c r="C202" s="79">
        <v>0</v>
      </c>
      <c r="D202" s="95">
        <v>5442.18</v>
      </c>
      <c r="E202" s="28">
        <f t="shared" si="21"/>
        <v>272.10900000000004</v>
      </c>
      <c r="F202" s="79">
        <f t="shared" si="27"/>
        <v>5442.18</v>
      </c>
      <c r="G202" s="79">
        <f t="shared" si="28"/>
        <v>6532.6849999999995</v>
      </c>
      <c r="H202" s="79">
        <f t="shared" si="20"/>
        <v>6259.7315384615367</v>
      </c>
      <c r="I202" s="79">
        <f>AVERAGE($F$187:F202)</f>
        <v>5867.9081249999999</v>
      </c>
      <c r="J202" s="84">
        <f t="shared" si="22"/>
        <v>305131.22249999997</v>
      </c>
      <c r="K202" s="79">
        <f t="shared" si="25"/>
        <v>234289.45000000004</v>
      </c>
      <c r="L202" s="85">
        <f t="shared" si="23"/>
        <v>977.98468749999995</v>
      </c>
      <c r="M202" s="79">
        <f t="shared" si="26"/>
        <v>641757.55929999996</v>
      </c>
    </row>
    <row r="203" spans="1:13" x14ac:dyDescent="0.2">
      <c r="A203" s="83">
        <v>41028</v>
      </c>
      <c r="B203" s="79">
        <v>0</v>
      </c>
      <c r="C203" s="79">
        <v>0</v>
      </c>
      <c r="D203" s="95">
        <v>7410.49</v>
      </c>
      <c r="E203" s="28">
        <f t="shared" si="21"/>
        <v>370.52449999999999</v>
      </c>
      <c r="F203" s="79">
        <f t="shared" si="27"/>
        <v>7410.49</v>
      </c>
      <c r="G203" s="79">
        <f t="shared" si="28"/>
        <v>7119.7749999999996</v>
      </c>
      <c r="H203" s="79">
        <f t="shared" si="20"/>
        <v>6409.8623076923086</v>
      </c>
      <c r="I203" s="79">
        <f>AVERAGE($F$187:F203)</f>
        <v>5958.6482352941175</v>
      </c>
      <c r="J203" s="84">
        <f t="shared" si="22"/>
        <v>309849.70823529409</v>
      </c>
      <c r="K203" s="79">
        <f t="shared" si="25"/>
        <v>236598.12000000005</v>
      </c>
      <c r="L203" s="85">
        <f t="shared" si="23"/>
        <v>993.10803921568629</v>
      </c>
      <c r="M203" s="79">
        <f t="shared" si="26"/>
        <v>649168.04929999996</v>
      </c>
    </row>
    <row r="204" spans="1:13" x14ac:dyDescent="0.2">
      <c r="A204" s="83">
        <v>41035</v>
      </c>
      <c r="B204" s="79">
        <v>0</v>
      </c>
      <c r="C204" s="79">
        <v>0</v>
      </c>
      <c r="D204" s="95">
        <v>5741.01</v>
      </c>
      <c r="E204" s="28">
        <f t="shared" si="21"/>
        <v>287.0505</v>
      </c>
      <c r="F204" s="79">
        <f t="shared" si="27"/>
        <v>5741.01</v>
      </c>
      <c r="G204" s="79">
        <f t="shared" si="28"/>
        <v>6784.1900000000005</v>
      </c>
      <c r="H204" s="79">
        <f t="shared" si="20"/>
        <v>6504.7661538461534</v>
      </c>
      <c r="I204" s="79">
        <f>AVERAGE($F$187:F204)</f>
        <v>5946.5572222222218</v>
      </c>
      <c r="J204" s="84">
        <f t="shared" si="22"/>
        <v>309220.97555555555</v>
      </c>
      <c r="K204" s="79">
        <f t="shared" si="25"/>
        <v>238347.58000000007</v>
      </c>
      <c r="L204" s="85">
        <f t="shared" si="23"/>
        <v>991.09287037037029</v>
      </c>
      <c r="M204" s="79">
        <f t="shared" si="26"/>
        <v>654909.05929999996</v>
      </c>
    </row>
    <row r="205" spans="1:13" x14ac:dyDescent="0.2">
      <c r="A205" s="83">
        <v>41042</v>
      </c>
      <c r="B205" s="79">
        <v>0</v>
      </c>
      <c r="C205" s="79">
        <v>0</v>
      </c>
      <c r="D205" s="95">
        <v>5192.8</v>
      </c>
      <c r="E205" s="28">
        <f t="shared" si="21"/>
        <v>259.64000000000004</v>
      </c>
      <c r="F205" s="79">
        <f t="shared" si="27"/>
        <v>5192.8</v>
      </c>
      <c r="G205" s="79">
        <f t="shared" si="28"/>
        <v>5946.62</v>
      </c>
      <c r="H205" s="79">
        <f t="shared" si="20"/>
        <v>6506.543076923077</v>
      </c>
      <c r="I205" s="79">
        <f>AVERAGE($F$187:F205)</f>
        <v>5906.8857894736839</v>
      </c>
      <c r="J205" s="84">
        <f t="shared" si="22"/>
        <v>307158.06105263159</v>
      </c>
      <c r="K205" s="79">
        <f t="shared" si="25"/>
        <v>238700.80000000008</v>
      </c>
      <c r="L205" s="85">
        <f t="shared" si="23"/>
        <v>984.48096491228068</v>
      </c>
      <c r="M205" s="79">
        <f t="shared" si="26"/>
        <v>660101.85930000001</v>
      </c>
    </row>
    <row r="206" spans="1:13" x14ac:dyDescent="0.2">
      <c r="A206" s="83">
        <v>41049</v>
      </c>
      <c r="B206" s="79">
        <v>0</v>
      </c>
      <c r="C206" s="79">
        <v>0</v>
      </c>
      <c r="D206" s="95">
        <v>6697.35</v>
      </c>
      <c r="E206" s="28">
        <f t="shared" si="21"/>
        <v>334.86750000000006</v>
      </c>
      <c r="F206" s="79">
        <f t="shared" si="27"/>
        <v>6697.35</v>
      </c>
      <c r="G206" s="79">
        <f t="shared" si="28"/>
        <v>6260.4125000000004</v>
      </c>
      <c r="H206" s="79">
        <f t="shared" si="20"/>
        <v>6671.4107692307689</v>
      </c>
      <c r="I206" s="79">
        <f>AVERAGE($F$187:F206)</f>
        <v>5946.4090000000006</v>
      </c>
      <c r="J206" s="84">
        <f t="shared" si="22"/>
        <v>309213.26800000004</v>
      </c>
      <c r="K206" s="79">
        <f t="shared" si="25"/>
        <v>241512.65000000005</v>
      </c>
      <c r="L206" s="85">
        <f t="shared" si="23"/>
        <v>991.0681666666668</v>
      </c>
      <c r="M206" s="79">
        <f t="shared" si="26"/>
        <v>666799.20929999999</v>
      </c>
    </row>
    <row r="207" spans="1:13" x14ac:dyDescent="0.2">
      <c r="A207" s="83">
        <v>41056</v>
      </c>
      <c r="B207" s="79">
        <v>0</v>
      </c>
      <c r="C207" s="79">
        <v>0</v>
      </c>
      <c r="D207" s="95">
        <v>5121.3500000000004</v>
      </c>
      <c r="E207" s="28">
        <f t="shared" si="21"/>
        <v>256.06750000000005</v>
      </c>
      <c r="F207" s="79">
        <f t="shared" si="27"/>
        <v>5121.3500000000004</v>
      </c>
      <c r="G207" s="79">
        <f t="shared" si="28"/>
        <v>5688.1275000000005</v>
      </c>
      <c r="H207" s="79">
        <f t="shared" si="20"/>
        <v>6581.8584615384616</v>
      </c>
      <c r="I207" s="79">
        <f>AVERAGE($F$187:F207)</f>
        <v>5907.1204761904764</v>
      </c>
      <c r="J207" s="84">
        <f t="shared" si="22"/>
        <v>307170.26476190478</v>
      </c>
      <c r="K207" s="79">
        <f t="shared" si="25"/>
        <v>243232.76000000007</v>
      </c>
      <c r="L207" s="85">
        <f t="shared" si="23"/>
        <v>984.52007936507937</v>
      </c>
      <c r="M207" s="79">
        <f t="shared" si="26"/>
        <v>671920.55929999996</v>
      </c>
    </row>
    <row r="208" spans="1:13" x14ac:dyDescent="0.2">
      <c r="A208" s="83">
        <v>41063</v>
      </c>
      <c r="B208" s="79">
        <v>0</v>
      </c>
      <c r="C208" s="79">
        <v>0</v>
      </c>
      <c r="D208" s="95">
        <v>3946.34</v>
      </c>
      <c r="E208" s="28">
        <f t="shared" si="21"/>
        <v>197.31700000000001</v>
      </c>
      <c r="F208" s="79">
        <f t="shared" si="27"/>
        <v>3946.34</v>
      </c>
      <c r="G208" s="79">
        <f t="shared" si="28"/>
        <v>5239.46</v>
      </c>
      <c r="H208" s="79">
        <f t="shared" ref="H208:H271" si="29">AVERAGE(F196:F208)</f>
        <v>6340.4592307692319</v>
      </c>
      <c r="I208" s="79">
        <f>AVERAGE($F$187:F208)</f>
        <v>5817.994090909091</v>
      </c>
      <c r="J208" s="84">
        <f t="shared" si="22"/>
        <v>302535.69272727275</v>
      </c>
      <c r="K208" s="79">
        <f t="shared" si="25"/>
        <v>244036.03000000006</v>
      </c>
      <c r="L208" s="85">
        <f t="shared" si="23"/>
        <v>969.66568181818184</v>
      </c>
      <c r="M208" s="79">
        <f t="shared" si="26"/>
        <v>675866.89929999993</v>
      </c>
    </row>
    <row r="209" spans="1:13" x14ac:dyDescent="0.2">
      <c r="A209" s="83">
        <v>41070</v>
      </c>
      <c r="B209" s="79">
        <v>0</v>
      </c>
      <c r="C209" s="79">
        <v>0</v>
      </c>
      <c r="D209" s="95">
        <f>4890.57-97.43</f>
        <v>4793.1399999999994</v>
      </c>
      <c r="E209" s="28">
        <f t="shared" si="21"/>
        <v>239.65699999999998</v>
      </c>
      <c r="F209" s="79">
        <f t="shared" si="27"/>
        <v>4793.1399999999994</v>
      </c>
      <c r="G209" s="79">
        <f t="shared" si="28"/>
        <v>5139.5450000000001</v>
      </c>
      <c r="H209" s="79">
        <f t="shared" si="29"/>
        <v>6057.3423076923073</v>
      </c>
      <c r="I209" s="79">
        <f>AVERAGE($F$187:F209)</f>
        <v>5773.4352173913048</v>
      </c>
      <c r="J209" s="84">
        <f t="shared" si="22"/>
        <v>300218.63130434783</v>
      </c>
      <c r="K209" s="79">
        <f t="shared" si="25"/>
        <v>245037.85000000003</v>
      </c>
      <c r="L209" s="85">
        <f t="shared" si="23"/>
        <v>962.23920289855084</v>
      </c>
      <c r="M209" s="79">
        <f t="shared" si="26"/>
        <v>680660.03929999995</v>
      </c>
    </row>
    <row r="210" spans="1:13" x14ac:dyDescent="0.2">
      <c r="A210" s="83">
        <v>41077</v>
      </c>
      <c r="B210" s="79">
        <v>0</v>
      </c>
      <c r="C210" s="79">
        <v>0</v>
      </c>
      <c r="D210" s="95">
        <v>4179.17</v>
      </c>
      <c r="E210" s="28">
        <f t="shared" si="21"/>
        <v>208.95850000000002</v>
      </c>
      <c r="F210" s="79">
        <f t="shared" si="27"/>
        <v>4179.17</v>
      </c>
      <c r="G210" s="79">
        <f t="shared" si="28"/>
        <v>4510</v>
      </c>
      <c r="H210" s="79">
        <f t="shared" si="29"/>
        <v>5713.081538461538</v>
      </c>
      <c r="I210" s="79">
        <f>AVERAGE($F$187:F210)</f>
        <v>5707.0075000000006</v>
      </c>
      <c r="J210" s="84">
        <f t="shared" si="22"/>
        <v>296764.39</v>
      </c>
      <c r="K210" s="79">
        <f t="shared" si="25"/>
        <v>244395.18000000002</v>
      </c>
      <c r="L210" s="85">
        <f t="shared" si="23"/>
        <v>951.16791666666677</v>
      </c>
      <c r="M210" s="79">
        <f t="shared" si="26"/>
        <v>684839.20929999999</v>
      </c>
    </row>
    <row r="211" spans="1:13" x14ac:dyDescent="0.2">
      <c r="A211" s="83">
        <v>41084</v>
      </c>
      <c r="B211" s="79">
        <v>0</v>
      </c>
      <c r="C211" s="79">
        <v>0</v>
      </c>
      <c r="D211" s="95">
        <v>4670.3900000000003</v>
      </c>
      <c r="E211" s="28">
        <f t="shared" si="21"/>
        <v>233.51950000000002</v>
      </c>
      <c r="F211" s="79">
        <f t="shared" si="27"/>
        <v>4670.3900000000003</v>
      </c>
      <c r="G211" s="79">
        <f t="shared" si="28"/>
        <v>4397.26</v>
      </c>
      <c r="H211" s="79">
        <f t="shared" si="29"/>
        <v>5683.290769230769</v>
      </c>
      <c r="I211" s="79">
        <f>AVERAGE($F$187:F211)</f>
        <v>5665.5428000000011</v>
      </c>
      <c r="J211" s="84">
        <f t="shared" si="22"/>
        <v>294608.22560000006</v>
      </c>
      <c r="K211" s="79">
        <f t="shared" si="25"/>
        <v>244908.94000000003</v>
      </c>
      <c r="L211" s="85">
        <f t="shared" si="23"/>
        <v>944.25713333333351</v>
      </c>
      <c r="M211" s="79">
        <f t="shared" si="26"/>
        <v>689509.5993</v>
      </c>
    </row>
    <row r="212" spans="1:13" x14ac:dyDescent="0.2">
      <c r="A212" s="83">
        <v>41091</v>
      </c>
      <c r="B212" s="79">
        <v>0</v>
      </c>
      <c r="C212" s="79">
        <v>0</v>
      </c>
      <c r="D212" s="95">
        <v>5317.83</v>
      </c>
      <c r="E212" s="28">
        <f t="shared" si="21"/>
        <v>265.89150000000001</v>
      </c>
      <c r="F212" s="79">
        <f t="shared" si="27"/>
        <v>5317.83</v>
      </c>
      <c r="G212" s="79">
        <f t="shared" si="28"/>
        <v>4740.1324999999997</v>
      </c>
      <c r="H212" s="79">
        <f t="shared" si="29"/>
        <v>5702.96</v>
      </c>
      <c r="I212" s="79">
        <f>AVERAGE($F$187:F212)</f>
        <v>5652.1692307692319</v>
      </c>
      <c r="J212" s="84">
        <f t="shared" si="22"/>
        <v>293912.80000000005</v>
      </c>
      <c r="K212" s="79">
        <f t="shared" si="25"/>
        <v>246650.77000000002</v>
      </c>
      <c r="L212" s="85">
        <f t="shared" si="23"/>
        <v>942.02820512820529</v>
      </c>
      <c r="M212" s="79">
        <f t="shared" si="26"/>
        <v>694827.42929999996</v>
      </c>
    </row>
    <row r="213" spans="1:13" x14ac:dyDescent="0.2">
      <c r="A213" s="83">
        <v>41098</v>
      </c>
      <c r="B213" s="79">
        <v>0</v>
      </c>
      <c r="C213" s="79">
        <v>0</v>
      </c>
      <c r="D213" s="95">
        <v>3481.06</v>
      </c>
      <c r="E213" s="28">
        <f t="shared" si="21"/>
        <v>174.053</v>
      </c>
      <c r="F213" s="79">
        <f t="shared" si="27"/>
        <v>3481.06</v>
      </c>
      <c r="G213" s="79">
        <f t="shared" si="28"/>
        <v>4412.1125000000002</v>
      </c>
      <c r="H213" s="79">
        <f t="shared" si="29"/>
        <v>5425.8607692307696</v>
      </c>
      <c r="I213" s="79">
        <f>AVERAGE($F$187:F213)</f>
        <v>5571.7577777777788</v>
      </c>
      <c r="J213" s="84">
        <f t="shared" si="22"/>
        <v>289731.40444444452</v>
      </c>
      <c r="K213" s="79">
        <f t="shared" si="25"/>
        <v>245889.45</v>
      </c>
      <c r="L213" s="85">
        <f t="shared" si="23"/>
        <v>928.62629629629646</v>
      </c>
      <c r="M213" s="79">
        <f t="shared" si="26"/>
        <v>698308.48930000002</v>
      </c>
    </row>
    <row r="214" spans="1:13" x14ac:dyDescent="0.2">
      <c r="A214" s="83">
        <v>41105</v>
      </c>
      <c r="B214" s="79">
        <v>0</v>
      </c>
      <c r="C214" s="79">
        <v>0</v>
      </c>
      <c r="D214" s="95">
        <v>4702.43</v>
      </c>
      <c r="E214" s="28">
        <f t="shared" si="21"/>
        <v>235.12150000000003</v>
      </c>
      <c r="F214" s="79">
        <f t="shared" si="27"/>
        <v>4702.43</v>
      </c>
      <c r="G214" s="79">
        <f t="shared" si="28"/>
        <v>4542.9274999999998</v>
      </c>
      <c r="H214" s="79">
        <f t="shared" si="29"/>
        <v>5130.4261538461542</v>
      </c>
      <c r="I214" s="79">
        <f>AVERAGE($F$187:F214)</f>
        <v>5540.7103571428579</v>
      </c>
      <c r="J214" s="84">
        <f t="shared" si="22"/>
        <v>288116.93857142859</v>
      </c>
      <c r="K214" s="79">
        <f t="shared" si="25"/>
        <v>245472.75</v>
      </c>
      <c r="L214" s="85">
        <f t="shared" si="23"/>
        <v>923.45172619047628</v>
      </c>
      <c r="M214" s="79">
        <f t="shared" si="26"/>
        <v>703010.91930000007</v>
      </c>
    </row>
    <row r="215" spans="1:13" x14ac:dyDescent="0.2">
      <c r="A215" s="83">
        <v>41112</v>
      </c>
      <c r="B215" s="79">
        <v>0</v>
      </c>
      <c r="C215" s="79">
        <v>0</v>
      </c>
      <c r="D215" s="95">
        <v>4339.5</v>
      </c>
      <c r="E215" s="28">
        <f t="shared" si="21"/>
        <v>216.97500000000002</v>
      </c>
      <c r="F215" s="79">
        <f t="shared" si="27"/>
        <v>4339.5</v>
      </c>
      <c r="G215" s="79">
        <f t="shared" si="28"/>
        <v>4460.2049999999999</v>
      </c>
      <c r="H215" s="79">
        <f t="shared" si="29"/>
        <v>5045.6046153846146</v>
      </c>
      <c r="I215" s="79">
        <f>AVERAGE($F$187:F215)</f>
        <v>5499.2893103448278</v>
      </c>
      <c r="J215" s="84">
        <f t="shared" si="22"/>
        <v>285963.04413793102</v>
      </c>
      <c r="K215" s="79">
        <f t="shared" si="25"/>
        <v>246990.89</v>
      </c>
      <c r="L215" s="85">
        <f t="shared" si="23"/>
        <v>916.54821839080466</v>
      </c>
      <c r="M215" s="79">
        <f t="shared" si="26"/>
        <v>707350.41930000007</v>
      </c>
    </row>
    <row r="216" spans="1:13" x14ac:dyDescent="0.2">
      <c r="A216" s="83">
        <v>41119</v>
      </c>
      <c r="B216" s="79">
        <v>0</v>
      </c>
      <c r="C216" s="79">
        <v>0</v>
      </c>
      <c r="D216" s="95">
        <v>4072.19</v>
      </c>
      <c r="E216" s="28">
        <f t="shared" si="21"/>
        <v>203.60950000000003</v>
      </c>
      <c r="F216" s="79">
        <f t="shared" si="27"/>
        <v>4072.19</v>
      </c>
      <c r="G216" s="79">
        <f t="shared" si="28"/>
        <v>4148.7950000000001</v>
      </c>
      <c r="H216" s="79">
        <f t="shared" si="29"/>
        <v>4788.8123076923084</v>
      </c>
      <c r="I216" s="79">
        <f>AVERAGE($F$187:F216)</f>
        <v>5451.7193333333335</v>
      </c>
      <c r="J216" s="84">
        <f t="shared" si="22"/>
        <v>283489.40533333336</v>
      </c>
      <c r="K216" s="79">
        <f t="shared" si="25"/>
        <v>247757.90000000002</v>
      </c>
      <c r="L216" s="85">
        <f t="shared" si="23"/>
        <v>908.61988888888891</v>
      </c>
      <c r="M216" s="79">
        <f t="shared" si="26"/>
        <v>711422.60930000001</v>
      </c>
    </row>
    <row r="217" spans="1:13" x14ac:dyDescent="0.2">
      <c r="A217" s="83">
        <v>41126</v>
      </c>
      <c r="B217" s="79">
        <v>0</v>
      </c>
      <c r="C217" s="79">
        <v>0</v>
      </c>
      <c r="D217" s="95">
        <v>4113.1000000000004</v>
      </c>
      <c r="E217" s="28">
        <f t="shared" si="21"/>
        <v>205.65500000000003</v>
      </c>
      <c r="F217" s="79">
        <f t="shared" si="27"/>
        <v>4113.1000000000004</v>
      </c>
      <c r="G217" s="79">
        <f t="shared" si="28"/>
        <v>4306.8050000000003</v>
      </c>
      <c r="H217" s="79">
        <f t="shared" si="29"/>
        <v>4663.5884615384621</v>
      </c>
      <c r="I217" s="79">
        <f>AVERAGE($F$187:F217)</f>
        <v>5408.5380645161295</v>
      </c>
      <c r="J217" s="84">
        <f t="shared" si="22"/>
        <v>281243.97935483872</v>
      </c>
      <c r="K217" s="79">
        <f t="shared" si="25"/>
        <v>248132.36000000002</v>
      </c>
      <c r="L217" s="85">
        <f t="shared" si="23"/>
        <v>901.42301075268824</v>
      </c>
      <c r="M217" s="79">
        <f t="shared" si="26"/>
        <v>715535.70929999999</v>
      </c>
    </row>
    <row r="218" spans="1:13" x14ac:dyDescent="0.2">
      <c r="A218" s="83">
        <v>41133</v>
      </c>
      <c r="B218" s="79">
        <v>0</v>
      </c>
      <c r="C218" s="79">
        <v>0</v>
      </c>
      <c r="D218" s="95">
        <v>4886.03</v>
      </c>
      <c r="E218" s="28">
        <f t="shared" si="21"/>
        <v>244.3015</v>
      </c>
      <c r="F218" s="79">
        <f t="shared" si="27"/>
        <v>4886.03</v>
      </c>
      <c r="G218" s="79">
        <f t="shared" si="28"/>
        <v>4352.7049999999999</v>
      </c>
      <c r="H218" s="79">
        <f t="shared" si="29"/>
        <v>4639.9907692307688</v>
      </c>
      <c r="I218" s="79">
        <f>AVERAGE($F$187:F218)</f>
        <v>5392.2096875000007</v>
      </c>
      <c r="J218" s="84">
        <f t="shared" si="22"/>
        <v>280394.90375000006</v>
      </c>
      <c r="K218" s="79">
        <f t="shared" si="25"/>
        <v>249200.77000000002</v>
      </c>
      <c r="L218" s="85">
        <f t="shared" si="23"/>
        <v>898.70161458333348</v>
      </c>
      <c r="M218" s="79">
        <f t="shared" si="26"/>
        <v>720421.73930000002</v>
      </c>
    </row>
    <row r="219" spans="1:13" x14ac:dyDescent="0.2">
      <c r="A219" s="83">
        <v>41140</v>
      </c>
      <c r="B219" s="79">
        <v>0</v>
      </c>
      <c r="C219" s="79">
        <v>0</v>
      </c>
      <c r="D219" s="95">
        <v>4326.3100000000004</v>
      </c>
      <c r="E219" s="28">
        <f t="shared" si="21"/>
        <v>216.31550000000004</v>
      </c>
      <c r="F219" s="79">
        <f t="shared" si="27"/>
        <v>4326.3100000000004</v>
      </c>
      <c r="G219" s="79">
        <f t="shared" si="28"/>
        <v>4349.4075000000003</v>
      </c>
      <c r="H219" s="79">
        <f t="shared" si="29"/>
        <v>4457.6030769230774</v>
      </c>
      <c r="I219" s="79">
        <f>AVERAGE($F$187:F219)</f>
        <v>5359.9096969696975</v>
      </c>
      <c r="J219" s="84">
        <f t="shared" si="22"/>
        <v>278715.30424242426</v>
      </c>
      <c r="K219" s="79">
        <f t="shared" si="25"/>
        <v>249325.43</v>
      </c>
      <c r="L219" s="85">
        <f t="shared" si="23"/>
        <v>893.31828282828292</v>
      </c>
      <c r="M219" s="79">
        <f t="shared" si="26"/>
        <v>724748.04930000007</v>
      </c>
    </row>
    <row r="220" spans="1:13" x14ac:dyDescent="0.2">
      <c r="A220" s="83">
        <v>41147</v>
      </c>
      <c r="B220" s="79">
        <v>0</v>
      </c>
      <c r="C220" s="79">
        <v>0</v>
      </c>
      <c r="D220" s="95">
        <v>5163.43</v>
      </c>
      <c r="E220" s="28">
        <f t="shared" si="21"/>
        <v>258.17150000000004</v>
      </c>
      <c r="F220" s="79">
        <f t="shared" si="27"/>
        <v>5163.43</v>
      </c>
      <c r="G220" s="79">
        <f t="shared" si="28"/>
        <v>4622.2175000000007</v>
      </c>
      <c r="H220" s="79">
        <f t="shared" si="29"/>
        <v>4460.84</v>
      </c>
      <c r="I220" s="79">
        <f>AVERAGE($F$187:F220)</f>
        <v>5354.1308823529416</v>
      </c>
      <c r="J220" s="84">
        <f t="shared" si="22"/>
        <v>278414.80588235299</v>
      </c>
      <c r="K220" s="79">
        <f t="shared" si="25"/>
        <v>251358.24</v>
      </c>
      <c r="L220" s="85">
        <f t="shared" si="23"/>
        <v>892.3551470588236</v>
      </c>
      <c r="M220" s="79">
        <f t="shared" si="26"/>
        <v>729911.47930000012</v>
      </c>
    </row>
    <row r="221" spans="1:13" x14ac:dyDescent="0.2">
      <c r="A221" s="83">
        <v>41154</v>
      </c>
      <c r="B221" s="79">
        <v>0</v>
      </c>
      <c r="C221" s="79">
        <v>0</v>
      </c>
      <c r="D221" s="91">
        <v>4674.6400000000003</v>
      </c>
      <c r="E221" s="28">
        <f t="shared" si="21"/>
        <v>233.73200000000003</v>
      </c>
      <c r="F221" s="79">
        <f t="shared" si="27"/>
        <v>4674.6400000000003</v>
      </c>
      <c r="G221" s="79">
        <f t="shared" si="28"/>
        <v>4762.6025</v>
      </c>
      <c r="H221" s="79">
        <f t="shared" si="29"/>
        <v>4516.8630769230767</v>
      </c>
      <c r="I221" s="79">
        <f>AVERAGE($F$187:F221)</f>
        <v>5334.7168571428583</v>
      </c>
      <c r="J221" s="84">
        <f t="shared" si="22"/>
        <v>277405.27657142864</v>
      </c>
      <c r="K221" s="79">
        <f t="shared" si="25"/>
        <v>250939.90000000002</v>
      </c>
      <c r="L221" s="85">
        <f t="shared" si="23"/>
        <v>889.11947619047635</v>
      </c>
      <c r="M221" s="79">
        <f t="shared" si="26"/>
        <v>734586.11930000014</v>
      </c>
    </row>
    <row r="222" spans="1:13" x14ac:dyDescent="0.2">
      <c r="A222" s="83">
        <v>41161</v>
      </c>
      <c r="B222" s="79">
        <v>0</v>
      </c>
      <c r="C222" s="79">
        <v>0</v>
      </c>
      <c r="D222" s="95">
        <v>3507.09</v>
      </c>
      <c r="E222" s="28">
        <f t="shared" ref="E222:E331" si="30">+D222*0.05</f>
        <v>175.35450000000003</v>
      </c>
      <c r="F222" s="79">
        <f t="shared" si="27"/>
        <v>3507.09</v>
      </c>
      <c r="G222" s="79">
        <f t="shared" si="28"/>
        <v>4417.8675000000003</v>
      </c>
      <c r="H222" s="79">
        <f t="shared" si="29"/>
        <v>4417.9361538461535</v>
      </c>
      <c r="I222" s="79">
        <f>AVERAGE($F$187:F222)</f>
        <v>5283.9494444444454</v>
      </c>
      <c r="J222" s="84">
        <f t="shared" si="22"/>
        <v>274765.37111111113</v>
      </c>
      <c r="K222" s="79">
        <f t="shared" si="25"/>
        <v>249718.88999999998</v>
      </c>
      <c r="L222" s="85">
        <f t="shared" si="23"/>
        <v>880.65824074074089</v>
      </c>
      <c r="M222" s="79">
        <f t="shared" si="26"/>
        <v>738093.2093000001</v>
      </c>
    </row>
    <row r="223" spans="1:13" x14ac:dyDescent="0.2">
      <c r="A223" s="83">
        <v>41168</v>
      </c>
      <c r="B223" s="79">
        <v>0</v>
      </c>
      <c r="C223" s="79">
        <v>0</v>
      </c>
      <c r="D223" s="95">
        <v>4933.63</v>
      </c>
      <c r="E223" s="28">
        <f t="shared" si="30"/>
        <v>246.68150000000003</v>
      </c>
      <c r="F223" s="79">
        <f t="shared" si="27"/>
        <v>4933.63</v>
      </c>
      <c r="G223" s="79">
        <f t="shared" si="28"/>
        <v>4569.6975000000002</v>
      </c>
      <c r="H223" s="79">
        <f t="shared" si="29"/>
        <v>4475.9715384615383</v>
      </c>
      <c r="I223" s="79">
        <f>AVERAGE($F$187:F223)</f>
        <v>5274.4813513513518</v>
      </c>
      <c r="J223" s="84">
        <f t="shared" ref="J223:J331" si="31">+I223*52</f>
        <v>274273.0302702703</v>
      </c>
      <c r="K223" s="79">
        <f t="shared" si="25"/>
        <v>250598.33</v>
      </c>
      <c r="L223" s="85">
        <f t="shared" ref="L223:L286" si="32">+I223/6</f>
        <v>879.08022522522526</v>
      </c>
      <c r="M223" s="79">
        <f t="shared" si="26"/>
        <v>743026.83930000011</v>
      </c>
    </row>
    <row r="224" spans="1:13" x14ac:dyDescent="0.2">
      <c r="A224" s="83">
        <v>41175</v>
      </c>
      <c r="B224" s="79">
        <v>0</v>
      </c>
      <c r="C224" s="79">
        <v>0</v>
      </c>
      <c r="D224" s="95">
        <v>5464.25</v>
      </c>
      <c r="E224" s="28">
        <f t="shared" si="30"/>
        <v>273.21250000000003</v>
      </c>
      <c r="F224" s="79">
        <f t="shared" si="27"/>
        <v>5464.25</v>
      </c>
      <c r="G224" s="79">
        <f t="shared" si="28"/>
        <v>4644.9025000000001</v>
      </c>
      <c r="H224" s="79">
        <f t="shared" si="29"/>
        <v>4537.0376923076919</v>
      </c>
      <c r="I224" s="79">
        <f>AVERAGE($F$187:F224)</f>
        <v>5279.4752631578958</v>
      </c>
      <c r="J224" s="84">
        <f t="shared" si="31"/>
        <v>274532.71368421055</v>
      </c>
      <c r="K224" s="79">
        <f t="shared" si="25"/>
        <v>251387.98</v>
      </c>
      <c r="L224" s="85">
        <f t="shared" si="32"/>
        <v>879.9125438596493</v>
      </c>
      <c r="M224" s="79">
        <f t="shared" si="26"/>
        <v>748491.08930000011</v>
      </c>
    </row>
    <row r="225" spans="1:16" x14ac:dyDescent="0.2">
      <c r="A225" s="83">
        <v>41182</v>
      </c>
      <c r="B225" s="79">
        <v>0</v>
      </c>
      <c r="C225" s="79">
        <v>0</v>
      </c>
      <c r="D225" s="95">
        <v>4883.78</v>
      </c>
      <c r="E225" s="28">
        <f t="shared" si="30"/>
        <v>244.18899999999999</v>
      </c>
      <c r="F225" s="79">
        <f t="shared" si="27"/>
        <v>4883.78</v>
      </c>
      <c r="G225" s="79">
        <f t="shared" si="28"/>
        <v>4697.1875</v>
      </c>
      <c r="H225" s="79">
        <f t="shared" si="29"/>
        <v>4503.6492307692306</v>
      </c>
      <c r="I225" s="79">
        <f>AVERAGE($F$187:F225)</f>
        <v>5269.3292307692318</v>
      </c>
      <c r="J225" s="84">
        <f t="shared" si="31"/>
        <v>274005.12000000005</v>
      </c>
      <c r="K225" s="79">
        <f t="shared" si="25"/>
        <v>251774.56</v>
      </c>
      <c r="L225" s="85">
        <f t="shared" si="32"/>
        <v>878.22153846153867</v>
      </c>
      <c r="M225" s="79">
        <f t="shared" si="26"/>
        <v>753374.86930000014</v>
      </c>
    </row>
    <row r="226" spans="1:16" x14ac:dyDescent="0.2">
      <c r="A226" s="83">
        <v>41189</v>
      </c>
      <c r="B226" s="79">
        <v>0</v>
      </c>
      <c r="C226" s="79">
        <v>0</v>
      </c>
      <c r="D226" s="95">
        <v>8442.44</v>
      </c>
      <c r="E226" s="28">
        <f t="shared" si="30"/>
        <v>422.12200000000007</v>
      </c>
      <c r="F226" s="79">
        <f t="shared" si="27"/>
        <v>8442.44</v>
      </c>
      <c r="G226" s="79">
        <f t="shared" si="28"/>
        <v>5931.0249999999996</v>
      </c>
      <c r="H226" s="79">
        <f t="shared" si="29"/>
        <v>4885.2938461538461</v>
      </c>
      <c r="I226" s="79">
        <f>AVERAGE($F$187:F226)</f>
        <v>5348.6570000000011</v>
      </c>
      <c r="J226" s="84">
        <f t="shared" si="31"/>
        <v>278130.16400000005</v>
      </c>
      <c r="K226" s="79">
        <f t="shared" si="25"/>
        <v>254200.49000000005</v>
      </c>
      <c r="L226" s="85">
        <f t="shared" si="32"/>
        <v>891.44283333333351</v>
      </c>
      <c r="M226" s="79">
        <f t="shared" si="26"/>
        <v>761817.30930000008</v>
      </c>
    </row>
    <row r="227" spans="1:16" x14ac:dyDescent="0.2">
      <c r="A227" s="83">
        <v>41196</v>
      </c>
      <c r="B227" s="79">
        <v>0</v>
      </c>
      <c r="C227" s="79">
        <v>0</v>
      </c>
      <c r="D227" s="95">
        <v>6771.8</v>
      </c>
      <c r="E227" s="28">
        <f t="shared" si="30"/>
        <v>338.59000000000003</v>
      </c>
      <c r="F227" s="79">
        <f t="shared" si="27"/>
        <v>6771.8</v>
      </c>
      <c r="G227" s="79">
        <f t="shared" si="28"/>
        <v>6390.5675000000001</v>
      </c>
      <c r="H227" s="79">
        <f t="shared" si="29"/>
        <v>5044.4761538461544</v>
      </c>
      <c r="I227" s="79">
        <f>AVERAGE($F$187:F227)</f>
        <v>5383.3678048780494</v>
      </c>
      <c r="J227" s="84">
        <f t="shared" si="31"/>
        <v>279935.12585365854</v>
      </c>
      <c r="K227" s="79">
        <f t="shared" si="25"/>
        <v>256323.15000000002</v>
      </c>
      <c r="L227" s="85">
        <f t="shared" si="32"/>
        <v>897.22796747967493</v>
      </c>
      <c r="M227" s="79">
        <f t="shared" si="26"/>
        <v>768589.10930000013</v>
      </c>
    </row>
    <row r="228" spans="1:16" x14ac:dyDescent="0.2">
      <c r="A228" s="83">
        <v>41203</v>
      </c>
      <c r="B228" s="79">
        <v>0</v>
      </c>
      <c r="C228" s="79">
        <v>0</v>
      </c>
      <c r="D228" s="95">
        <v>6091.43</v>
      </c>
      <c r="E228" s="28">
        <f t="shared" si="30"/>
        <v>304.57150000000001</v>
      </c>
      <c r="F228" s="79">
        <f t="shared" si="27"/>
        <v>6091.43</v>
      </c>
      <c r="G228" s="79">
        <f t="shared" si="28"/>
        <v>6547.3625000000002</v>
      </c>
      <c r="H228" s="79">
        <f t="shared" si="29"/>
        <v>5179.24</v>
      </c>
      <c r="I228" s="79">
        <f>AVERAGE($F$187:F228)</f>
        <v>5400.2264285714291</v>
      </c>
      <c r="J228" s="84">
        <f t="shared" si="31"/>
        <v>280811.77428571432</v>
      </c>
      <c r="K228" s="79">
        <f t="shared" si="25"/>
        <v>257425.14</v>
      </c>
      <c r="L228" s="85">
        <f t="shared" si="32"/>
        <v>900.03773809523818</v>
      </c>
      <c r="M228" s="79">
        <f t="shared" si="26"/>
        <v>774680.53930000018</v>
      </c>
    </row>
    <row r="229" spans="1:16" x14ac:dyDescent="0.2">
      <c r="A229" s="83">
        <v>41210</v>
      </c>
      <c r="B229" s="79">
        <v>0</v>
      </c>
      <c r="C229" s="79">
        <v>0</v>
      </c>
      <c r="D229" s="95">
        <v>7245.03</v>
      </c>
      <c r="E229" s="28">
        <f t="shared" si="30"/>
        <v>362.25150000000002</v>
      </c>
      <c r="F229" s="79">
        <f t="shared" si="27"/>
        <v>7245.03</v>
      </c>
      <c r="G229" s="79">
        <f t="shared" si="28"/>
        <v>7137.6750000000002</v>
      </c>
      <c r="H229" s="79">
        <f t="shared" si="29"/>
        <v>5423.3046153846162</v>
      </c>
      <c r="I229" s="79">
        <f>AVERAGE($F$187:F229)</f>
        <v>5443.1288372093022</v>
      </c>
      <c r="J229" s="84">
        <f t="shared" si="31"/>
        <v>283042.69953488372</v>
      </c>
      <c r="K229" s="79">
        <f t="shared" si="25"/>
        <v>262266.79000000004</v>
      </c>
      <c r="L229" s="85">
        <f t="shared" si="32"/>
        <v>907.1881395348837</v>
      </c>
      <c r="M229" s="79">
        <f t="shared" si="26"/>
        <v>781925.56930000021</v>
      </c>
    </row>
    <row r="230" spans="1:16" x14ac:dyDescent="0.2">
      <c r="A230" s="83">
        <v>41217</v>
      </c>
      <c r="B230" s="79">
        <v>0</v>
      </c>
      <c r="C230" s="79">
        <v>0</v>
      </c>
      <c r="D230" s="91">
        <v>6208.12</v>
      </c>
      <c r="E230" s="28">
        <f t="shared" si="30"/>
        <v>310.40600000000001</v>
      </c>
      <c r="F230" s="79">
        <f t="shared" si="27"/>
        <v>6208.12</v>
      </c>
      <c r="G230" s="79">
        <f t="shared" si="28"/>
        <v>6579.0949999999993</v>
      </c>
      <c r="H230" s="79">
        <f t="shared" si="29"/>
        <v>5584.4600000000009</v>
      </c>
      <c r="I230" s="79">
        <f>AVERAGE($F$187:F230)</f>
        <v>5460.5150000000003</v>
      </c>
      <c r="J230" s="84">
        <f t="shared" si="31"/>
        <v>283946.78000000003</v>
      </c>
      <c r="K230" s="79">
        <f t="shared" si="25"/>
        <v>265001.28000000003</v>
      </c>
      <c r="L230" s="85">
        <f t="shared" si="32"/>
        <v>910.08583333333343</v>
      </c>
      <c r="M230" s="79">
        <f t="shared" si="26"/>
        <v>788133.6893000002</v>
      </c>
    </row>
    <row r="231" spans="1:16" x14ac:dyDescent="0.2">
      <c r="A231" s="83">
        <v>41224</v>
      </c>
      <c r="B231" s="79">
        <v>0</v>
      </c>
      <c r="C231" s="79">
        <v>0</v>
      </c>
      <c r="D231" s="95">
        <v>5640.24</v>
      </c>
      <c r="E231" s="28">
        <f t="shared" si="30"/>
        <v>282.012</v>
      </c>
      <c r="F231" s="79">
        <f t="shared" si="27"/>
        <v>5640.24</v>
      </c>
      <c r="G231" s="79">
        <f t="shared" si="28"/>
        <v>6296.2049999999999</v>
      </c>
      <c r="H231" s="79">
        <f t="shared" si="29"/>
        <v>5642.4761538461553</v>
      </c>
      <c r="I231" s="79">
        <f>AVERAGE($F$187:F231)</f>
        <v>5464.5088888888886</v>
      </c>
      <c r="J231" s="84">
        <f t="shared" si="31"/>
        <v>284154.46222222218</v>
      </c>
      <c r="K231" s="79">
        <f t="shared" si="25"/>
        <v>266712.40000000002</v>
      </c>
      <c r="L231" s="85">
        <f t="shared" si="32"/>
        <v>910.75148148148139</v>
      </c>
      <c r="M231" s="79">
        <f t="shared" si="26"/>
        <v>793773.92930000019</v>
      </c>
    </row>
    <row r="232" spans="1:16" x14ac:dyDescent="0.2">
      <c r="A232" s="83">
        <v>41231</v>
      </c>
      <c r="B232" s="79">
        <v>0</v>
      </c>
      <c r="C232" s="79">
        <v>0</v>
      </c>
      <c r="D232" s="95">
        <v>3140.23</v>
      </c>
      <c r="E232" s="28">
        <f t="shared" si="30"/>
        <v>157.01150000000001</v>
      </c>
      <c r="F232" s="79">
        <f t="shared" si="27"/>
        <v>3140.23</v>
      </c>
      <c r="G232" s="79">
        <f t="shared" si="28"/>
        <v>5558.4049999999997</v>
      </c>
      <c r="H232" s="79">
        <f t="shared" si="29"/>
        <v>5551.2392307692307</v>
      </c>
      <c r="I232" s="79">
        <f>AVERAGE($F$187:F232)</f>
        <v>5413.9810869565217</v>
      </c>
      <c r="J232" s="84">
        <f t="shared" si="31"/>
        <v>281527.01652173913</v>
      </c>
      <c r="K232" s="79">
        <f t="shared" si="25"/>
        <v>266233.14</v>
      </c>
      <c r="L232" s="85">
        <f t="shared" si="32"/>
        <v>902.33018115942025</v>
      </c>
      <c r="M232" s="79">
        <f t="shared" si="26"/>
        <v>796914.15930000017</v>
      </c>
    </row>
    <row r="233" spans="1:16" x14ac:dyDescent="0.2">
      <c r="A233" s="83">
        <v>41238</v>
      </c>
      <c r="B233" s="79">
        <v>0</v>
      </c>
      <c r="C233" s="79">
        <v>0</v>
      </c>
      <c r="D233" s="95">
        <v>4616.17</v>
      </c>
      <c r="E233" s="28">
        <f t="shared" si="30"/>
        <v>230.80850000000001</v>
      </c>
      <c r="F233" s="79">
        <f t="shared" si="27"/>
        <v>4616.17</v>
      </c>
      <c r="G233" s="79">
        <f t="shared" si="28"/>
        <v>4901.1900000000005</v>
      </c>
      <c r="H233" s="79">
        <f t="shared" si="29"/>
        <v>5509.1423076923083</v>
      </c>
      <c r="I233" s="79">
        <f>AVERAGE($F$187:F233)</f>
        <v>5397.0063829787241</v>
      </c>
      <c r="J233" s="84">
        <f t="shared" si="31"/>
        <v>280644.33191489364</v>
      </c>
      <c r="K233" s="79">
        <f t="shared" si="25"/>
        <v>268542.74</v>
      </c>
      <c r="L233" s="85">
        <f t="shared" si="32"/>
        <v>899.50106382978731</v>
      </c>
      <c r="M233" s="79">
        <f t="shared" si="26"/>
        <v>801530.32930000022</v>
      </c>
    </row>
    <row r="234" spans="1:16" x14ac:dyDescent="0.2">
      <c r="A234" s="83">
        <v>41245</v>
      </c>
      <c r="B234" s="79">
        <v>0</v>
      </c>
      <c r="C234" s="79">
        <v>0</v>
      </c>
      <c r="D234" s="95">
        <v>5555.74</v>
      </c>
      <c r="E234" s="28">
        <f t="shared" si="30"/>
        <v>277.78699999999998</v>
      </c>
      <c r="F234" s="79">
        <f t="shared" si="27"/>
        <v>5555.74</v>
      </c>
      <c r="G234" s="79">
        <f t="shared" si="28"/>
        <v>4738.0949999999993</v>
      </c>
      <c r="H234" s="79">
        <f t="shared" si="29"/>
        <v>5576.9192307692319</v>
      </c>
      <c r="I234" s="79">
        <f>AVERAGE($F$187:F234)</f>
        <v>5400.3133333333335</v>
      </c>
      <c r="J234" s="84">
        <f t="shared" si="31"/>
        <v>280816.29333333333</v>
      </c>
      <c r="K234" s="79">
        <f t="shared" si="25"/>
        <v>270252.14999999997</v>
      </c>
      <c r="L234" s="85">
        <f t="shared" si="32"/>
        <v>900.05222222222221</v>
      </c>
      <c r="M234" s="79">
        <f t="shared" si="26"/>
        <v>807086.06930000021</v>
      </c>
    </row>
    <row r="235" spans="1:16" x14ac:dyDescent="0.2">
      <c r="A235" s="83">
        <v>41252</v>
      </c>
      <c r="B235" s="79">
        <v>0</v>
      </c>
      <c r="C235" s="79">
        <v>0</v>
      </c>
      <c r="D235" s="95">
        <v>5804.34</v>
      </c>
      <c r="E235" s="28">
        <f t="shared" si="30"/>
        <v>290.21700000000004</v>
      </c>
      <c r="F235" s="79">
        <f t="shared" si="27"/>
        <v>5804.34</v>
      </c>
      <c r="G235" s="79">
        <f t="shared" si="28"/>
        <v>4779.12</v>
      </c>
      <c r="H235" s="79">
        <f t="shared" si="29"/>
        <v>5753.6307692307691</v>
      </c>
      <c r="I235" s="79">
        <f>AVERAGE($F$187:F235)</f>
        <v>5408.5587755102042</v>
      </c>
      <c r="J235" s="84">
        <f t="shared" si="31"/>
        <v>281245.05632653064</v>
      </c>
      <c r="K235" s="79">
        <f t="shared" si="25"/>
        <v>274056.65999999997</v>
      </c>
      <c r="L235" s="85">
        <f t="shared" si="32"/>
        <v>901.42646258503407</v>
      </c>
      <c r="M235" s="79">
        <f t="shared" si="26"/>
        <v>812890.40930000017</v>
      </c>
      <c r="O235" s="85"/>
      <c r="P235" s="99"/>
    </row>
    <row r="236" spans="1:16" x14ac:dyDescent="0.2">
      <c r="A236" s="83">
        <v>41259</v>
      </c>
      <c r="B236" s="79">
        <v>0</v>
      </c>
      <c r="C236" s="79">
        <v>0</v>
      </c>
      <c r="D236" s="95">
        <v>2946.6</v>
      </c>
      <c r="E236" s="28">
        <f t="shared" si="30"/>
        <v>147.33000000000001</v>
      </c>
      <c r="F236" s="79">
        <f t="shared" si="27"/>
        <v>2946.6</v>
      </c>
      <c r="G236" s="79">
        <f t="shared" si="28"/>
        <v>4730.7124999999996</v>
      </c>
      <c r="H236" s="79">
        <f t="shared" si="29"/>
        <v>5600.7823076923087</v>
      </c>
      <c r="I236" s="79">
        <f>AVERAGE($F$187:F236)</f>
        <v>5359.3195999999998</v>
      </c>
      <c r="J236" s="84">
        <f t="shared" si="31"/>
        <v>278684.61920000002</v>
      </c>
      <c r="K236" s="79">
        <f t="shared" si="25"/>
        <v>275044.32</v>
      </c>
      <c r="L236" s="85">
        <f t="shared" si="32"/>
        <v>893.2199333333333</v>
      </c>
      <c r="M236" s="79">
        <f t="shared" si="26"/>
        <v>815837.00930000015</v>
      </c>
      <c r="O236" s="85"/>
      <c r="P236" s="99"/>
    </row>
    <row r="237" spans="1:16" x14ac:dyDescent="0.2">
      <c r="A237" s="83">
        <v>41266</v>
      </c>
      <c r="B237" s="79">
        <v>0</v>
      </c>
      <c r="C237" s="79">
        <v>0</v>
      </c>
      <c r="D237" s="95">
        <v>4664.6400000000003</v>
      </c>
      <c r="E237" s="28">
        <f t="shared" si="30"/>
        <v>233.23200000000003</v>
      </c>
      <c r="F237" s="79">
        <f t="shared" si="27"/>
        <v>4664.6400000000003</v>
      </c>
      <c r="G237" s="79">
        <f t="shared" si="28"/>
        <v>4742.83</v>
      </c>
      <c r="H237" s="79">
        <f t="shared" si="29"/>
        <v>5539.2738461538474</v>
      </c>
      <c r="I237" s="79">
        <f>AVERAGE($F$187:F237)</f>
        <v>5345.6984313725488</v>
      </c>
      <c r="J237" s="84">
        <f t="shared" si="31"/>
        <v>277976.31843137252</v>
      </c>
      <c r="K237" s="79">
        <f t="shared" si="25"/>
        <v>277242.89000000007</v>
      </c>
      <c r="L237" s="85">
        <f t="shared" si="32"/>
        <v>890.94973856209151</v>
      </c>
      <c r="M237" s="79">
        <f t="shared" si="26"/>
        <v>820501.64930000016</v>
      </c>
      <c r="O237" s="85"/>
      <c r="P237" s="99"/>
    </row>
    <row r="238" spans="1:16" x14ac:dyDescent="0.2">
      <c r="A238" s="83">
        <v>41273</v>
      </c>
      <c r="B238" s="79">
        <v>0</v>
      </c>
      <c r="C238" s="79">
        <v>0</v>
      </c>
      <c r="D238" s="95">
        <v>3792.03</v>
      </c>
      <c r="E238" s="28">
        <f t="shared" si="30"/>
        <v>189.60150000000002</v>
      </c>
      <c r="F238" s="79">
        <f t="shared" si="27"/>
        <v>3792.03</v>
      </c>
      <c r="G238" s="79">
        <f t="shared" si="28"/>
        <v>4301.9025000000001</v>
      </c>
      <c r="H238" s="79">
        <f t="shared" si="29"/>
        <v>5455.293076923077</v>
      </c>
      <c r="I238" s="79">
        <f>AVERAGE($F$187:F238)</f>
        <v>5315.8201923076931</v>
      </c>
      <c r="J238" s="84">
        <f t="shared" si="31"/>
        <v>276422.65000000002</v>
      </c>
      <c r="K238" s="92">
        <f t="shared" si="25"/>
        <v>276422.65000000002</v>
      </c>
      <c r="L238" s="93">
        <f t="shared" si="32"/>
        <v>885.97003205128215</v>
      </c>
      <c r="M238" s="79">
        <f t="shared" si="26"/>
        <v>824293.67930000019</v>
      </c>
      <c r="N238" s="102"/>
      <c r="O238" s="85"/>
      <c r="P238" s="99"/>
    </row>
    <row r="239" spans="1:16" x14ac:dyDescent="0.2">
      <c r="A239" s="83">
        <v>41280</v>
      </c>
      <c r="B239" s="79">
        <v>0</v>
      </c>
      <c r="C239" s="79">
        <v>0</v>
      </c>
      <c r="D239" s="95">
        <v>1562.35</v>
      </c>
      <c r="E239" s="28">
        <f t="shared" si="30"/>
        <v>78.117500000000007</v>
      </c>
      <c r="F239" s="79">
        <f t="shared" si="27"/>
        <v>1562.35</v>
      </c>
      <c r="G239" s="79">
        <f t="shared" si="28"/>
        <v>3241.4050000000002</v>
      </c>
      <c r="H239" s="79">
        <f t="shared" si="29"/>
        <v>4926.0553846153834</v>
      </c>
      <c r="I239" s="79">
        <f>AVERAGE($F$239:F239)</f>
        <v>1562.35</v>
      </c>
      <c r="J239" s="84">
        <f t="shared" si="31"/>
        <v>81242.2</v>
      </c>
      <c r="K239" s="79">
        <f t="shared" si="25"/>
        <v>273359.64</v>
      </c>
      <c r="L239" s="85">
        <f t="shared" si="32"/>
        <v>260.39166666666665</v>
      </c>
      <c r="M239" s="79">
        <f t="shared" si="26"/>
        <v>825856.02930000017</v>
      </c>
      <c r="N239" s="100"/>
      <c r="O239" s="85"/>
      <c r="P239" s="99"/>
    </row>
    <row r="240" spans="1:16" x14ac:dyDescent="0.2">
      <c r="A240" s="83">
        <v>41287</v>
      </c>
      <c r="B240" s="79">
        <v>0</v>
      </c>
      <c r="C240" s="79">
        <v>0</v>
      </c>
      <c r="D240" s="95">
        <v>2661.98</v>
      </c>
      <c r="E240" s="28">
        <f t="shared" si="30"/>
        <v>133.09900000000002</v>
      </c>
      <c r="F240" s="79">
        <f t="shared" si="27"/>
        <v>2661.98</v>
      </c>
      <c r="G240" s="79">
        <f t="shared" si="28"/>
        <v>3170.25</v>
      </c>
      <c r="H240" s="79">
        <f t="shared" si="29"/>
        <v>4609.9153846153849</v>
      </c>
      <c r="I240" s="79">
        <f>AVERAGE($F$239:F240)</f>
        <v>2112.165</v>
      </c>
      <c r="J240" s="84">
        <f t="shared" si="31"/>
        <v>109832.58</v>
      </c>
      <c r="K240" s="79">
        <f t="shared" si="25"/>
        <v>272240.98</v>
      </c>
      <c r="L240" s="85">
        <f t="shared" si="32"/>
        <v>352.02749999999997</v>
      </c>
      <c r="M240" s="79">
        <f t="shared" si="26"/>
        <v>828518.00930000015</v>
      </c>
      <c r="N240" s="100"/>
      <c r="O240" s="85"/>
      <c r="P240" s="99"/>
    </row>
    <row r="241" spans="1:16" x14ac:dyDescent="0.2">
      <c r="A241" s="83">
        <v>41294</v>
      </c>
      <c r="B241" s="79">
        <v>0</v>
      </c>
      <c r="C241" s="79">
        <v>0</v>
      </c>
      <c r="D241" s="95">
        <v>4486.0600000000004</v>
      </c>
      <c r="E241" s="28">
        <f t="shared" si="30"/>
        <v>224.30300000000003</v>
      </c>
      <c r="F241" s="79">
        <f t="shared" si="27"/>
        <v>4486.0600000000004</v>
      </c>
      <c r="G241" s="79">
        <f t="shared" si="28"/>
        <v>3125.6050000000005</v>
      </c>
      <c r="H241" s="79">
        <f t="shared" si="29"/>
        <v>4486.4253846153842</v>
      </c>
      <c r="I241" s="79">
        <f>AVERAGE($F$239:F241)</f>
        <v>2903.4633333333331</v>
      </c>
      <c r="J241" s="84">
        <f t="shared" si="31"/>
        <v>150980.09333333332</v>
      </c>
      <c r="K241" s="79">
        <f t="shared" si="25"/>
        <v>272623.01999999996</v>
      </c>
      <c r="L241" s="85">
        <f t="shared" si="32"/>
        <v>483.9105555555555</v>
      </c>
      <c r="M241" s="79">
        <f t="shared" si="26"/>
        <v>833004.06930000021</v>
      </c>
      <c r="O241" s="85"/>
      <c r="P241" s="99"/>
    </row>
    <row r="242" spans="1:16" x14ac:dyDescent="0.2">
      <c r="A242" s="83">
        <v>41301</v>
      </c>
      <c r="B242" s="79">
        <v>0</v>
      </c>
      <c r="C242" s="79">
        <v>0</v>
      </c>
      <c r="D242" s="103">
        <v>4276.95</v>
      </c>
      <c r="E242" s="28">
        <f t="shared" si="30"/>
        <v>213.8475</v>
      </c>
      <c r="F242" s="79">
        <f t="shared" si="27"/>
        <v>4276.95</v>
      </c>
      <c r="G242" s="79">
        <f t="shared" si="28"/>
        <v>3246.835</v>
      </c>
      <c r="H242" s="79">
        <f t="shared" si="29"/>
        <v>4258.1115384615387</v>
      </c>
      <c r="I242" s="79">
        <f>AVERAGE($F$239:F242)</f>
        <v>3246.835</v>
      </c>
      <c r="J242" s="84">
        <f t="shared" si="31"/>
        <v>168835.42</v>
      </c>
      <c r="K242" s="79">
        <f t="shared" si="25"/>
        <v>271441.18000000005</v>
      </c>
      <c r="L242" s="85">
        <f t="shared" si="32"/>
        <v>541.13916666666671</v>
      </c>
      <c r="M242" s="79">
        <f t="shared" si="26"/>
        <v>837281.01930000016</v>
      </c>
    </row>
    <row r="243" spans="1:16" x14ac:dyDescent="0.2">
      <c r="A243" s="83">
        <v>41308</v>
      </c>
      <c r="B243" s="79">
        <v>0</v>
      </c>
      <c r="C243" s="79">
        <v>0</v>
      </c>
      <c r="D243" s="95">
        <v>3509.57</v>
      </c>
      <c r="E243" s="28">
        <f t="shared" si="30"/>
        <v>175.47850000000003</v>
      </c>
      <c r="F243" s="79">
        <f t="shared" si="27"/>
        <v>3509.57</v>
      </c>
      <c r="G243" s="79">
        <f t="shared" si="28"/>
        <v>3733.6400000000003</v>
      </c>
      <c r="H243" s="79">
        <f t="shared" si="29"/>
        <v>4050.5307692307688</v>
      </c>
      <c r="I243" s="79">
        <f>AVERAGE($F$239:F243)</f>
        <v>3299.3820000000001</v>
      </c>
      <c r="J243" s="84">
        <f t="shared" si="31"/>
        <v>171567.864</v>
      </c>
      <c r="K243" s="79">
        <f t="shared" si="25"/>
        <v>270443.49000000005</v>
      </c>
      <c r="L243" s="85">
        <f t="shared" si="32"/>
        <v>549.89700000000005</v>
      </c>
      <c r="M243" s="79">
        <f t="shared" si="26"/>
        <v>840790.58930000011</v>
      </c>
    </row>
    <row r="244" spans="1:16" x14ac:dyDescent="0.2">
      <c r="A244" s="83">
        <v>41315</v>
      </c>
      <c r="B244" s="79">
        <v>0</v>
      </c>
      <c r="C244" s="79">
        <v>0</v>
      </c>
      <c r="D244" s="95">
        <v>8787.01</v>
      </c>
      <c r="E244" s="28">
        <f t="shared" si="30"/>
        <v>439.35050000000001</v>
      </c>
      <c r="F244" s="79">
        <f t="shared" si="27"/>
        <v>8787.01</v>
      </c>
      <c r="G244" s="79">
        <f t="shared" si="28"/>
        <v>5264.8975</v>
      </c>
      <c r="H244" s="79">
        <f t="shared" si="29"/>
        <v>4292.5899999999992</v>
      </c>
      <c r="I244" s="79">
        <f>AVERAGE($F$239:F244)</f>
        <v>4213.9866666666667</v>
      </c>
      <c r="J244" s="84">
        <f t="shared" si="31"/>
        <v>219127.30666666667</v>
      </c>
      <c r="K244" s="79">
        <f t="shared" si="25"/>
        <v>274060.80000000005</v>
      </c>
      <c r="L244" s="85">
        <f t="shared" si="32"/>
        <v>702.33111111111111</v>
      </c>
      <c r="M244" s="79">
        <f t="shared" si="26"/>
        <v>849577.59930000012</v>
      </c>
    </row>
    <row r="245" spans="1:16" x14ac:dyDescent="0.2">
      <c r="A245" s="83">
        <v>41322</v>
      </c>
      <c r="B245" s="79">
        <v>0</v>
      </c>
      <c r="C245" s="79">
        <v>0</v>
      </c>
      <c r="D245" s="103">
        <v>7325.44</v>
      </c>
      <c r="E245" s="28">
        <f t="shared" si="30"/>
        <v>366.27199999999999</v>
      </c>
      <c r="F245" s="79">
        <f t="shared" si="27"/>
        <v>7325.44</v>
      </c>
      <c r="G245" s="79">
        <f t="shared" si="28"/>
        <v>5974.7424999999994</v>
      </c>
      <c r="H245" s="79">
        <f t="shared" si="29"/>
        <v>4614.5292307692307</v>
      </c>
      <c r="I245" s="79">
        <f>AVERAGE($F$239:F245)</f>
        <v>4658.4799999999996</v>
      </c>
      <c r="J245" s="84">
        <f t="shared" si="31"/>
        <v>242240.95999999996</v>
      </c>
      <c r="K245" s="79">
        <f t="shared" si="25"/>
        <v>276832.17000000004</v>
      </c>
      <c r="L245" s="85">
        <f t="shared" si="32"/>
        <v>776.4133333333333</v>
      </c>
      <c r="M245" s="79">
        <f t="shared" si="26"/>
        <v>856903.03930000006</v>
      </c>
    </row>
    <row r="246" spans="1:16" x14ac:dyDescent="0.2">
      <c r="A246" s="83">
        <v>41329</v>
      </c>
      <c r="B246" s="79">
        <v>0</v>
      </c>
      <c r="C246" s="79">
        <v>0</v>
      </c>
      <c r="D246" s="95">
        <v>6899.18</v>
      </c>
      <c r="E246" s="28">
        <f t="shared" si="30"/>
        <v>344.95900000000006</v>
      </c>
      <c r="F246" s="79">
        <f t="shared" si="27"/>
        <v>6899.18</v>
      </c>
      <c r="G246" s="79">
        <f t="shared" si="28"/>
        <v>6630.3</v>
      </c>
      <c r="H246" s="79">
        <f t="shared" si="29"/>
        <v>4790.1453846153845</v>
      </c>
      <c r="I246" s="79">
        <f>AVERAGE($F$239:F246)</f>
        <v>4938.5674999999992</v>
      </c>
      <c r="J246" s="84">
        <f t="shared" si="31"/>
        <v>256805.50999999995</v>
      </c>
      <c r="K246" s="79">
        <f t="shared" si="25"/>
        <v>277445.82</v>
      </c>
      <c r="L246" s="85">
        <f t="shared" si="32"/>
        <v>823.09458333333316</v>
      </c>
      <c r="M246" s="79">
        <f t="shared" si="26"/>
        <v>863802.21930000011</v>
      </c>
    </row>
    <row r="247" spans="1:16" x14ac:dyDescent="0.2">
      <c r="A247" s="83">
        <v>41336</v>
      </c>
      <c r="B247" s="79">
        <v>0</v>
      </c>
      <c r="C247" s="79">
        <v>0</v>
      </c>
      <c r="D247" s="95">
        <v>8071.26</v>
      </c>
      <c r="E247" s="28">
        <f t="shared" si="30"/>
        <v>403.56300000000005</v>
      </c>
      <c r="F247" s="79">
        <f t="shared" si="27"/>
        <v>8071.26</v>
      </c>
      <c r="G247" s="79">
        <f t="shared" si="28"/>
        <v>7770.7224999999999</v>
      </c>
      <c r="H247" s="79">
        <f t="shared" si="29"/>
        <v>4983.6469230769235</v>
      </c>
      <c r="I247" s="79">
        <f>AVERAGE($F$239:F247)</f>
        <v>5286.6444444444442</v>
      </c>
      <c r="J247" s="84">
        <f t="shared" si="31"/>
        <v>274905.51111111109</v>
      </c>
      <c r="K247" s="79">
        <f t="shared" ref="K247:K310" si="33">SUM(F196:F247)</f>
        <v>278432.55000000005</v>
      </c>
      <c r="L247" s="85">
        <f t="shared" si="32"/>
        <v>881.10740740740732</v>
      </c>
      <c r="M247" s="79">
        <f t="shared" si="26"/>
        <v>871873.47930000012</v>
      </c>
    </row>
    <row r="248" spans="1:16" x14ac:dyDescent="0.2">
      <c r="A248" s="83">
        <v>41343</v>
      </c>
      <c r="B248" s="79">
        <v>0</v>
      </c>
      <c r="C248" s="79">
        <v>0</v>
      </c>
      <c r="D248" s="103">
        <f>7293.38+76+153+35</f>
        <v>7557.38</v>
      </c>
      <c r="E248" s="28">
        <f t="shared" si="30"/>
        <v>377.86900000000003</v>
      </c>
      <c r="F248" s="79">
        <f t="shared" si="27"/>
        <v>7557.38</v>
      </c>
      <c r="G248" s="79">
        <f t="shared" si="28"/>
        <v>7463.3149999999996</v>
      </c>
      <c r="H248" s="79">
        <f t="shared" si="29"/>
        <v>5118.4961538461548</v>
      </c>
      <c r="I248" s="79">
        <f>AVERAGE($F$239:F248)</f>
        <v>5513.7179999999989</v>
      </c>
      <c r="J248" s="84">
        <f t="shared" si="31"/>
        <v>286713.33599999995</v>
      </c>
      <c r="K248" s="79">
        <f t="shared" si="33"/>
        <v>277516.27</v>
      </c>
      <c r="L248" s="85">
        <f t="shared" si="32"/>
        <v>918.95299999999986</v>
      </c>
      <c r="M248" s="79">
        <f t="shared" si="26"/>
        <v>879430.85930000013</v>
      </c>
    </row>
    <row r="249" spans="1:16" x14ac:dyDescent="0.2">
      <c r="A249" s="83">
        <v>41350</v>
      </c>
      <c r="B249" s="79">
        <v>0</v>
      </c>
      <c r="C249" s="79">
        <v>0</v>
      </c>
      <c r="D249" s="95">
        <f>9292.44+62.99+270+325</f>
        <v>9950.43</v>
      </c>
      <c r="E249" s="28">
        <f t="shared" si="30"/>
        <v>497.52150000000006</v>
      </c>
      <c r="F249" s="79">
        <f t="shared" si="27"/>
        <v>9950.43</v>
      </c>
      <c r="G249" s="79">
        <f t="shared" si="28"/>
        <v>8119.5625</v>
      </c>
      <c r="H249" s="79">
        <f t="shared" si="29"/>
        <v>5657.252307692308</v>
      </c>
      <c r="I249" s="79">
        <f>AVERAGE($F$239:F249)</f>
        <v>5917.0554545454543</v>
      </c>
      <c r="J249" s="84">
        <f t="shared" si="31"/>
        <v>307686.88363636361</v>
      </c>
      <c r="K249" s="79">
        <f t="shared" si="33"/>
        <v>278812.14</v>
      </c>
      <c r="L249" s="85">
        <f t="shared" si="32"/>
        <v>986.17590909090904</v>
      </c>
      <c r="M249" s="79">
        <f t="shared" si="26"/>
        <v>889381.28930000018</v>
      </c>
    </row>
    <row r="250" spans="1:16" x14ac:dyDescent="0.2">
      <c r="A250" s="83">
        <v>41357</v>
      </c>
      <c r="B250" s="79">
        <v>0</v>
      </c>
      <c r="C250" s="79">
        <v>0</v>
      </c>
      <c r="D250" s="95">
        <v>8145.7</v>
      </c>
      <c r="E250" s="28">
        <f t="shared" si="30"/>
        <v>407.28500000000003</v>
      </c>
      <c r="F250" s="79">
        <f t="shared" si="27"/>
        <v>8145.7</v>
      </c>
      <c r="G250" s="79">
        <f t="shared" si="28"/>
        <v>8431.1924999999992</v>
      </c>
      <c r="H250" s="79">
        <f t="shared" si="29"/>
        <v>5925.0261538461546</v>
      </c>
      <c r="I250" s="79">
        <f>AVERAGE($F$239:F250)</f>
        <v>6102.7758333333331</v>
      </c>
      <c r="J250" s="84">
        <f t="shared" si="31"/>
        <v>317344.34333333332</v>
      </c>
      <c r="K250" s="79">
        <f t="shared" si="33"/>
        <v>281900.17000000004</v>
      </c>
      <c r="L250" s="85">
        <f t="shared" si="32"/>
        <v>1017.1293055555556</v>
      </c>
      <c r="M250" s="79">
        <f t="shared" si="26"/>
        <v>897526.98930000013</v>
      </c>
    </row>
    <row r="251" spans="1:16" x14ac:dyDescent="0.2">
      <c r="A251" s="83">
        <v>41364</v>
      </c>
      <c r="B251" s="79">
        <v>0</v>
      </c>
      <c r="C251" s="79">
        <v>0</v>
      </c>
      <c r="D251" s="103">
        <v>8644.74</v>
      </c>
      <c r="E251" s="28">
        <f t="shared" si="30"/>
        <v>432.23700000000002</v>
      </c>
      <c r="F251" s="79">
        <f t="shared" si="27"/>
        <v>8644.74</v>
      </c>
      <c r="G251" s="79">
        <f t="shared" si="28"/>
        <v>8574.5625</v>
      </c>
      <c r="H251" s="79">
        <f t="shared" si="29"/>
        <v>6298.3115384615385</v>
      </c>
      <c r="I251" s="79">
        <f>AVERAGE($F$239:F251)</f>
        <v>6298.3115384615385</v>
      </c>
      <c r="J251" s="84">
        <f t="shared" si="31"/>
        <v>327512.2</v>
      </c>
      <c r="K251" s="79">
        <f t="shared" si="33"/>
        <v>285482.78000000009</v>
      </c>
      <c r="L251" s="85">
        <f t="shared" si="32"/>
        <v>1049.7185897435897</v>
      </c>
      <c r="M251" s="79">
        <f t="shared" si="26"/>
        <v>906171.72930000012</v>
      </c>
    </row>
    <row r="252" spans="1:16" x14ac:dyDescent="0.2">
      <c r="A252" s="83">
        <v>41371</v>
      </c>
      <c r="B252" s="79">
        <v>0</v>
      </c>
      <c r="C252" s="79">
        <v>0</v>
      </c>
      <c r="D252" s="95">
        <v>8101.18</v>
      </c>
      <c r="E252" s="28">
        <f t="shared" si="30"/>
        <v>405.05900000000003</v>
      </c>
      <c r="F252" s="79">
        <f t="shared" si="27"/>
        <v>8101.18</v>
      </c>
      <c r="G252" s="79">
        <f t="shared" si="28"/>
        <v>8710.5125000000007</v>
      </c>
      <c r="H252" s="79">
        <f t="shared" si="29"/>
        <v>6801.2984615384621</v>
      </c>
      <c r="I252" s="79">
        <f>AVERAGE($F$239:F252)</f>
        <v>6427.0878571428575</v>
      </c>
      <c r="J252" s="84">
        <f t="shared" si="31"/>
        <v>334208.56857142859</v>
      </c>
      <c r="K252" s="79">
        <f t="shared" si="33"/>
        <v>286500.61</v>
      </c>
      <c r="L252" s="85">
        <f t="shared" si="32"/>
        <v>1071.1813095238097</v>
      </c>
      <c r="M252" s="79">
        <f t="shared" si="26"/>
        <v>914272.90930000017</v>
      </c>
    </row>
    <row r="253" spans="1:16" x14ac:dyDescent="0.2">
      <c r="A253" s="83">
        <v>41378</v>
      </c>
      <c r="B253" s="79">
        <v>0</v>
      </c>
      <c r="C253" s="79">
        <v>0</v>
      </c>
      <c r="D253" s="95">
        <v>4364.62</v>
      </c>
      <c r="E253" s="28">
        <f t="shared" si="30"/>
        <v>218.23099999999999</v>
      </c>
      <c r="F253" s="79">
        <f t="shared" si="27"/>
        <v>4364.62</v>
      </c>
      <c r="G253" s="79">
        <f t="shared" si="28"/>
        <v>7314.0599999999995</v>
      </c>
      <c r="H253" s="79">
        <f t="shared" si="29"/>
        <v>6932.2707692307686</v>
      </c>
      <c r="I253" s="79">
        <f>AVERAGE($F$239:F253)</f>
        <v>6289.59</v>
      </c>
      <c r="J253" s="84">
        <f t="shared" si="31"/>
        <v>327058.68</v>
      </c>
      <c r="K253" s="79">
        <f t="shared" si="33"/>
        <v>282322.15000000008</v>
      </c>
      <c r="L253" s="85">
        <f t="shared" si="32"/>
        <v>1048.2650000000001</v>
      </c>
      <c r="M253" s="79">
        <f t="shared" si="26"/>
        <v>918637.52930000017</v>
      </c>
    </row>
    <row r="254" spans="1:16" x14ac:dyDescent="0.2">
      <c r="A254" s="83">
        <v>41385</v>
      </c>
      <c r="B254" s="79">
        <v>0</v>
      </c>
      <c r="C254" s="79">
        <v>0</v>
      </c>
      <c r="D254" s="103">
        <v>7808.23</v>
      </c>
      <c r="E254" s="28">
        <f t="shared" si="30"/>
        <v>390.41149999999999</v>
      </c>
      <c r="F254" s="79">
        <f t="shared" si="27"/>
        <v>7808.23</v>
      </c>
      <c r="G254" s="79">
        <f t="shared" si="28"/>
        <v>7229.6924999999992</v>
      </c>
      <c r="H254" s="79">
        <f t="shared" si="29"/>
        <v>7187.8223076923068</v>
      </c>
      <c r="I254" s="79">
        <f>AVERAGE($F$239:F254)</f>
        <v>6384.5050000000001</v>
      </c>
      <c r="J254" s="84">
        <f t="shared" si="31"/>
        <v>331994.26</v>
      </c>
      <c r="K254" s="79">
        <f t="shared" si="33"/>
        <v>284688.2</v>
      </c>
      <c r="L254" s="85">
        <f t="shared" si="32"/>
        <v>1064.0841666666668</v>
      </c>
      <c r="M254" s="79">
        <f t="shared" si="26"/>
        <v>926445.75930000015</v>
      </c>
    </row>
    <row r="255" spans="1:16" x14ac:dyDescent="0.2">
      <c r="A255" s="83">
        <v>41392</v>
      </c>
      <c r="B255" s="79">
        <v>0</v>
      </c>
      <c r="C255" s="79">
        <v>0</v>
      </c>
      <c r="D255" s="95">
        <v>4870.7299999999996</v>
      </c>
      <c r="E255" s="28">
        <f t="shared" si="30"/>
        <v>243.53649999999999</v>
      </c>
      <c r="F255" s="79">
        <f t="shared" si="27"/>
        <v>4870.7299999999996</v>
      </c>
      <c r="G255" s="79">
        <f t="shared" si="28"/>
        <v>6286.19</v>
      </c>
      <c r="H255" s="79">
        <f t="shared" si="29"/>
        <v>7233.4976923076902</v>
      </c>
      <c r="I255" s="79">
        <f>AVERAGE($F$239:F255)</f>
        <v>6295.4594117647057</v>
      </c>
      <c r="J255" s="84">
        <f t="shared" si="31"/>
        <v>327363.88941176469</v>
      </c>
      <c r="K255" s="79">
        <f t="shared" si="33"/>
        <v>282148.44</v>
      </c>
      <c r="L255" s="85">
        <f t="shared" si="32"/>
        <v>1049.2432352941175</v>
      </c>
      <c r="M255" s="79">
        <f t="shared" si="26"/>
        <v>931316.48930000013</v>
      </c>
    </row>
    <row r="256" spans="1:16" x14ac:dyDescent="0.2">
      <c r="A256" s="83">
        <v>41399</v>
      </c>
      <c r="B256" s="79">
        <v>0</v>
      </c>
      <c r="C256" s="79">
        <v>0</v>
      </c>
      <c r="D256" s="95">
        <v>4722.2700000000004</v>
      </c>
      <c r="E256" s="28">
        <f t="shared" si="30"/>
        <v>236.11350000000004</v>
      </c>
      <c r="F256" s="79">
        <f t="shared" si="27"/>
        <v>4722.2700000000004</v>
      </c>
      <c r="G256" s="79">
        <f t="shared" si="28"/>
        <v>5441.4624999999996</v>
      </c>
      <c r="H256" s="79">
        <f t="shared" si="29"/>
        <v>7326.7823076923069</v>
      </c>
      <c r="I256" s="79">
        <f>AVERAGE($F$239:F256)</f>
        <v>6208.06</v>
      </c>
      <c r="J256" s="84">
        <f t="shared" si="31"/>
        <v>322819.12</v>
      </c>
      <c r="K256" s="79">
        <f t="shared" si="33"/>
        <v>281129.70000000007</v>
      </c>
      <c r="L256" s="85">
        <f t="shared" si="32"/>
        <v>1034.6766666666667</v>
      </c>
      <c r="M256" s="79">
        <f t="shared" ref="M256:M319" si="34">+M255+F256</f>
        <v>936038.75930000015</v>
      </c>
    </row>
    <row r="257" spans="1:13" x14ac:dyDescent="0.2">
      <c r="A257" s="83">
        <v>41406</v>
      </c>
      <c r="B257" s="79">
        <v>0</v>
      </c>
      <c r="C257" s="79">
        <v>0</v>
      </c>
      <c r="D257" s="103">
        <v>9032.01</v>
      </c>
      <c r="E257" s="28">
        <f t="shared" si="30"/>
        <v>451.60050000000001</v>
      </c>
      <c r="F257" s="79">
        <f t="shared" si="27"/>
        <v>9032.01</v>
      </c>
      <c r="G257" s="79">
        <f t="shared" si="28"/>
        <v>6608.3099999999995</v>
      </c>
      <c r="H257" s="79">
        <f t="shared" si="29"/>
        <v>7345.6284615384602</v>
      </c>
      <c r="I257" s="79">
        <f>AVERAGE($F$239:F257)</f>
        <v>6356.6889473684205</v>
      </c>
      <c r="J257" s="84">
        <f t="shared" si="31"/>
        <v>330547.82526315784</v>
      </c>
      <c r="K257" s="79">
        <f t="shared" si="33"/>
        <v>284968.91000000003</v>
      </c>
      <c r="L257" s="85">
        <f t="shared" si="32"/>
        <v>1059.4481578947368</v>
      </c>
      <c r="M257" s="79">
        <f t="shared" si="34"/>
        <v>945070.76930000016</v>
      </c>
    </row>
    <row r="258" spans="1:13" x14ac:dyDescent="0.2">
      <c r="A258" s="83">
        <v>41413</v>
      </c>
      <c r="B258" s="79">
        <v>0</v>
      </c>
      <c r="C258" s="79">
        <v>0</v>
      </c>
      <c r="D258" s="95">
        <v>7362.9</v>
      </c>
      <c r="E258" s="28">
        <f t="shared" si="30"/>
        <v>368.14499999999998</v>
      </c>
      <c r="F258" s="79">
        <f t="shared" si="27"/>
        <v>7362.9</v>
      </c>
      <c r="G258" s="79">
        <f t="shared" si="28"/>
        <v>6496.9775000000009</v>
      </c>
      <c r="H258" s="79">
        <f t="shared" si="29"/>
        <v>7348.5099999999993</v>
      </c>
      <c r="I258" s="79">
        <f>AVERAGE($F$239:F258)</f>
        <v>6406.9994999999999</v>
      </c>
      <c r="J258" s="84">
        <f t="shared" si="31"/>
        <v>333163.97399999999</v>
      </c>
      <c r="K258" s="79">
        <f t="shared" si="33"/>
        <v>285634.46000000014</v>
      </c>
      <c r="L258" s="85">
        <f t="shared" si="32"/>
        <v>1067.8332499999999</v>
      </c>
      <c r="M258" s="79">
        <f t="shared" si="34"/>
        <v>952433.66930000018</v>
      </c>
    </row>
    <row r="259" spans="1:13" x14ac:dyDescent="0.2">
      <c r="A259" s="83">
        <v>41420</v>
      </c>
      <c r="B259" s="79">
        <v>0</v>
      </c>
      <c r="C259" s="79">
        <v>0</v>
      </c>
      <c r="D259" s="95">
        <v>5328.85</v>
      </c>
      <c r="E259" s="28">
        <f t="shared" si="30"/>
        <v>266.44250000000005</v>
      </c>
      <c r="F259" s="79">
        <f t="shared" si="27"/>
        <v>5328.85</v>
      </c>
      <c r="G259" s="79">
        <f t="shared" si="28"/>
        <v>6611.5074999999997</v>
      </c>
      <c r="H259" s="79">
        <f t="shared" si="29"/>
        <v>7227.7153846153833</v>
      </c>
      <c r="I259" s="79">
        <f>AVERAGE($F$239:F259)</f>
        <v>6355.6590476190477</v>
      </c>
      <c r="J259" s="84">
        <f t="shared" si="31"/>
        <v>330494.27047619049</v>
      </c>
      <c r="K259" s="79">
        <f t="shared" si="33"/>
        <v>285841.96000000008</v>
      </c>
      <c r="L259" s="85">
        <f t="shared" si="32"/>
        <v>1059.2765079365079</v>
      </c>
      <c r="M259" s="79">
        <f t="shared" si="34"/>
        <v>957762.51930000016</v>
      </c>
    </row>
    <row r="260" spans="1:13" x14ac:dyDescent="0.2">
      <c r="A260" s="83">
        <v>41427</v>
      </c>
      <c r="B260" s="79">
        <v>0</v>
      </c>
      <c r="C260" s="79">
        <v>0</v>
      </c>
      <c r="D260" s="103">
        <v>8011.47</v>
      </c>
      <c r="E260" s="28">
        <f t="shared" si="30"/>
        <v>400.57350000000002</v>
      </c>
      <c r="F260" s="79">
        <f>SUM(B260:D260)</f>
        <v>8011.47</v>
      </c>
      <c r="G260" s="79">
        <f t="shared" si="28"/>
        <v>7433.8075000000008</v>
      </c>
      <c r="H260" s="79">
        <f t="shared" si="29"/>
        <v>7223.1161538461538</v>
      </c>
      <c r="I260" s="79">
        <f>AVERAGE($F$239:F260)</f>
        <v>6430.9231818181815</v>
      </c>
      <c r="J260" s="84">
        <f t="shared" si="31"/>
        <v>334408.00545454543</v>
      </c>
      <c r="K260" s="79">
        <f t="shared" si="33"/>
        <v>289907.09000000003</v>
      </c>
      <c r="L260" s="85">
        <f t="shared" si="32"/>
        <v>1071.8205303030302</v>
      </c>
      <c r="M260" s="79">
        <f t="shared" si="34"/>
        <v>965773.98930000013</v>
      </c>
    </row>
    <row r="261" spans="1:13" x14ac:dyDescent="0.2">
      <c r="A261" s="83">
        <v>41434</v>
      </c>
      <c r="B261" s="79">
        <v>0</v>
      </c>
      <c r="C261" s="79">
        <v>0</v>
      </c>
      <c r="D261" s="95">
        <v>4357.0200000000004</v>
      </c>
      <c r="E261" s="28">
        <f t="shared" si="30"/>
        <v>217.85100000000003</v>
      </c>
      <c r="F261" s="79">
        <f>SUM(B261:D261)</f>
        <v>4357.0200000000004</v>
      </c>
      <c r="G261" s="79">
        <f t="shared" si="28"/>
        <v>6265.06</v>
      </c>
      <c r="H261" s="79">
        <f t="shared" si="29"/>
        <v>6976.9346153846163</v>
      </c>
      <c r="I261" s="79">
        <f>AVERAGE($F$239:F261)</f>
        <v>6340.7534782608691</v>
      </c>
      <c r="J261" s="84">
        <f t="shared" si="31"/>
        <v>329719.18086956517</v>
      </c>
      <c r="K261" s="79">
        <f t="shared" si="33"/>
        <v>289470.97000000003</v>
      </c>
      <c r="L261" s="85">
        <f t="shared" si="32"/>
        <v>1056.7922463768116</v>
      </c>
      <c r="M261" s="79">
        <f t="shared" si="34"/>
        <v>970131.00930000015</v>
      </c>
    </row>
    <row r="262" spans="1:13" x14ac:dyDescent="0.2">
      <c r="A262" s="83">
        <v>41441</v>
      </c>
      <c r="B262" s="79">
        <v>0</v>
      </c>
      <c r="C262" s="79">
        <v>0</v>
      </c>
      <c r="D262" s="95">
        <v>6296.36</v>
      </c>
      <c r="E262" s="28">
        <f t="shared" si="30"/>
        <v>314.81799999999998</v>
      </c>
      <c r="F262" s="79">
        <f>SUM(B262:D262)</f>
        <v>6296.36</v>
      </c>
      <c r="G262" s="79">
        <f t="shared" si="28"/>
        <v>5998.4250000000002</v>
      </c>
      <c r="H262" s="79">
        <f t="shared" si="29"/>
        <v>6695.8523076923093</v>
      </c>
      <c r="I262" s="79">
        <f>AVERAGE($F$239:F262)</f>
        <v>6338.9037499999986</v>
      </c>
      <c r="J262" s="84">
        <f t="shared" si="31"/>
        <v>329622.99499999994</v>
      </c>
      <c r="K262" s="79">
        <f t="shared" si="33"/>
        <v>291588.16000000003</v>
      </c>
      <c r="L262" s="85">
        <f t="shared" si="32"/>
        <v>1056.483958333333</v>
      </c>
      <c r="M262" s="79">
        <f t="shared" si="34"/>
        <v>976427.36930000014</v>
      </c>
    </row>
    <row r="263" spans="1:13" x14ac:dyDescent="0.2">
      <c r="A263" s="83">
        <v>41448</v>
      </c>
      <c r="B263" s="79">
        <v>0</v>
      </c>
      <c r="C263" s="79">
        <v>0</v>
      </c>
      <c r="D263" s="103">
        <v>5823.76</v>
      </c>
      <c r="E263" s="28">
        <f t="shared" si="30"/>
        <v>291.18800000000005</v>
      </c>
      <c r="F263" s="79">
        <v>6521.62</v>
      </c>
      <c r="G263" s="79">
        <f t="shared" ref="G263:G326" si="35">AVERAGE(F260:F263)</f>
        <v>6296.6175000000003</v>
      </c>
      <c r="H263" s="79">
        <f t="shared" si="29"/>
        <v>6570.9230769230771</v>
      </c>
      <c r="I263" s="79">
        <f>AVERAGE($F$239:F263)</f>
        <v>6346.2123999999985</v>
      </c>
      <c r="J263" s="84">
        <f t="shared" si="31"/>
        <v>330003.04479999992</v>
      </c>
      <c r="K263" s="79">
        <f t="shared" si="33"/>
        <v>293439.39</v>
      </c>
      <c r="L263" s="85">
        <f t="shared" si="32"/>
        <v>1057.7020666666665</v>
      </c>
      <c r="M263" s="79">
        <f t="shared" si="34"/>
        <v>982948.98930000013</v>
      </c>
    </row>
    <row r="264" spans="1:13" x14ac:dyDescent="0.2">
      <c r="A264" s="83">
        <v>41455</v>
      </c>
      <c r="B264" s="79">
        <v>0</v>
      </c>
      <c r="C264" s="79">
        <v>0</v>
      </c>
      <c r="D264" s="95">
        <v>6759.22</v>
      </c>
      <c r="E264" s="28">
        <f t="shared" si="30"/>
        <v>337.96100000000001</v>
      </c>
      <c r="F264" s="79">
        <f t="shared" ref="F264:F299" si="36">SUM(B264:D264)</f>
        <v>6759.22</v>
      </c>
      <c r="G264" s="79">
        <f t="shared" si="35"/>
        <v>5983.5550000000003</v>
      </c>
      <c r="H264" s="79">
        <f t="shared" si="29"/>
        <v>6425.8830769230763</v>
      </c>
      <c r="I264" s="79">
        <f>AVERAGE($F$239:F264)</f>
        <v>6362.0973076923065</v>
      </c>
      <c r="J264" s="84">
        <f t="shared" si="31"/>
        <v>330829.05999999994</v>
      </c>
      <c r="K264" s="79">
        <f t="shared" si="33"/>
        <v>294880.77999999997</v>
      </c>
      <c r="L264" s="85">
        <f t="shared" si="32"/>
        <v>1060.3495512820512</v>
      </c>
      <c r="M264" s="79">
        <f t="shared" si="34"/>
        <v>989708.2093000001</v>
      </c>
    </row>
    <row r="265" spans="1:13" x14ac:dyDescent="0.2">
      <c r="A265" s="83">
        <v>41462</v>
      </c>
      <c r="B265" s="79">
        <v>0</v>
      </c>
      <c r="C265" s="79">
        <v>0</v>
      </c>
      <c r="D265" s="95">
        <v>5332.6</v>
      </c>
      <c r="E265" s="28">
        <f t="shared" si="30"/>
        <v>266.63000000000005</v>
      </c>
      <c r="F265" s="79">
        <f t="shared" si="36"/>
        <v>5332.6</v>
      </c>
      <c r="G265" s="79">
        <f t="shared" si="35"/>
        <v>6227.4500000000007</v>
      </c>
      <c r="H265" s="79">
        <f t="shared" si="29"/>
        <v>6212.9153846153849</v>
      </c>
      <c r="I265" s="79">
        <f>AVERAGE($F$239:F265)</f>
        <v>6323.967777777777</v>
      </c>
      <c r="J265" s="84">
        <f t="shared" si="31"/>
        <v>328846.32444444438</v>
      </c>
      <c r="K265" s="79">
        <f t="shared" si="33"/>
        <v>296732.31999999995</v>
      </c>
      <c r="L265" s="85">
        <f t="shared" si="32"/>
        <v>1053.9946296296296</v>
      </c>
      <c r="M265" s="79">
        <f t="shared" si="34"/>
        <v>995040.80930000008</v>
      </c>
    </row>
    <row r="266" spans="1:13" x14ac:dyDescent="0.2">
      <c r="A266" s="83">
        <v>41469</v>
      </c>
      <c r="B266" s="79">
        <v>0</v>
      </c>
      <c r="C266" s="79">
        <v>0</v>
      </c>
      <c r="D266" s="103">
        <v>4450.7700000000004</v>
      </c>
      <c r="E266" s="28">
        <f t="shared" si="30"/>
        <v>222.53850000000003</v>
      </c>
      <c r="F266" s="79">
        <f t="shared" si="36"/>
        <v>4450.7700000000004</v>
      </c>
      <c r="G266" s="79">
        <f t="shared" si="35"/>
        <v>5766.0525000000007</v>
      </c>
      <c r="H266" s="79">
        <f t="shared" si="29"/>
        <v>6219.542307692308</v>
      </c>
      <c r="I266" s="79">
        <f>AVERAGE($F$239:F266)</f>
        <v>6257.0678571428562</v>
      </c>
      <c r="J266" s="84">
        <f t="shared" si="31"/>
        <v>325367.5285714285</v>
      </c>
      <c r="K266" s="79">
        <f t="shared" si="33"/>
        <v>296480.65999999997</v>
      </c>
      <c r="L266" s="85">
        <f t="shared" si="32"/>
        <v>1042.8446428571426</v>
      </c>
      <c r="M266" s="79">
        <f t="shared" si="34"/>
        <v>999491.5793000001</v>
      </c>
    </row>
    <row r="267" spans="1:13" x14ac:dyDescent="0.2">
      <c r="A267" s="83">
        <v>41476</v>
      </c>
      <c r="B267" s="79">
        <v>0</v>
      </c>
      <c r="C267" s="79">
        <v>0</v>
      </c>
      <c r="D267" s="95">
        <v>3780.34</v>
      </c>
      <c r="E267" s="28">
        <f t="shared" si="30"/>
        <v>189.01700000000002</v>
      </c>
      <c r="F267" s="79">
        <f t="shared" si="36"/>
        <v>3780.34</v>
      </c>
      <c r="G267" s="79">
        <f t="shared" si="35"/>
        <v>5080.7325000000001</v>
      </c>
      <c r="H267" s="79">
        <f t="shared" si="29"/>
        <v>5909.7046153846159</v>
      </c>
      <c r="I267" s="79">
        <f>AVERAGE($F$239:F267)</f>
        <v>6171.6634482758609</v>
      </c>
      <c r="J267" s="84">
        <f t="shared" si="31"/>
        <v>320926.49931034475</v>
      </c>
      <c r="K267" s="79">
        <f t="shared" si="33"/>
        <v>295921.5</v>
      </c>
      <c r="L267" s="85">
        <f t="shared" si="32"/>
        <v>1028.6105747126435</v>
      </c>
      <c r="M267" s="79">
        <f t="shared" si="34"/>
        <v>1003271.9193000001</v>
      </c>
    </row>
    <row r="268" spans="1:13" x14ac:dyDescent="0.2">
      <c r="A268" s="83">
        <v>41483</v>
      </c>
      <c r="B268" s="79">
        <v>0</v>
      </c>
      <c r="C268" s="79">
        <v>0</v>
      </c>
      <c r="D268" s="95">
        <v>4307.7299999999996</v>
      </c>
      <c r="E268" s="28">
        <f t="shared" si="30"/>
        <v>215.38649999999998</v>
      </c>
      <c r="F268" s="79">
        <f t="shared" si="36"/>
        <v>4307.7299999999996</v>
      </c>
      <c r="G268" s="79">
        <f t="shared" si="35"/>
        <v>4467.8600000000006</v>
      </c>
      <c r="H268" s="79">
        <f t="shared" si="29"/>
        <v>5866.3969230769235</v>
      </c>
      <c r="I268" s="79">
        <f>AVERAGE($F$239:F268)</f>
        <v>6109.5323333333326</v>
      </c>
      <c r="J268" s="84">
        <f t="shared" si="31"/>
        <v>317695.68133333331</v>
      </c>
      <c r="K268" s="79">
        <f t="shared" si="33"/>
        <v>296157.03999999998</v>
      </c>
      <c r="L268" s="85">
        <f t="shared" si="32"/>
        <v>1018.2553888888888</v>
      </c>
      <c r="M268" s="79">
        <f t="shared" si="34"/>
        <v>1007579.6493</v>
      </c>
    </row>
    <row r="269" spans="1:13" x14ac:dyDescent="0.2">
      <c r="A269" s="83">
        <v>41490</v>
      </c>
      <c r="B269" s="79">
        <v>0</v>
      </c>
      <c r="C269" s="79">
        <v>0</v>
      </c>
      <c r="D269" s="103">
        <v>7309.63</v>
      </c>
      <c r="E269" s="28">
        <f t="shared" si="30"/>
        <v>365.48150000000004</v>
      </c>
      <c r="F269" s="79">
        <f t="shared" si="36"/>
        <v>7309.63</v>
      </c>
      <c r="G269" s="79">
        <f t="shared" si="35"/>
        <v>4962.1175000000003</v>
      </c>
      <c r="H269" s="79">
        <f t="shared" si="29"/>
        <v>6065.4246153846161</v>
      </c>
      <c r="I269" s="79">
        <f>AVERAGE($F$239:F269)</f>
        <v>6148.2451612903214</v>
      </c>
      <c r="J269" s="84">
        <f t="shared" si="31"/>
        <v>319708.74838709674</v>
      </c>
      <c r="K269" s="79">
        <f t="shared" si="33"/>
        <v>299353.57</v>
      </c>
      <c r="L269" s="85">
        <f t="shared" si="32"/>
        <v>1024.7075268817202</v>
      </c>
      <c r="M269" s="79">
        <f t="shared" si="34"/>
        <v>1014889.2793000001</v>
      </c>
    </row>
    <row r="270" spans="1:13" x14ac:dyDescent="0.2">
      <c r="A270" s="83">
        <v>41497</v>
      </c>
      <c r="B270" s="79">
        <v>0</v>
      </c>
      <c r="C270" s="79">
        <v>0</v>
      </c>
      <c r="D270" s="95">
        <v>5461.16</v>
      </c>
      <c r="E270" s="28">
        <f t="shared" si="30"/>
        <v>273.05799999999999</v>
      </c>
      <c r="F270" s="79">
        <f t="shared" si="36"/>
        <v>5461.16</v>
      </c>
      <c r="G270" s="79">
        <f t="shared" si="35"/>
        <v>5214.7150000000001</v>
      </c>
      <c r="H270" s="79">
        <f t="shared" si="29"/>
        <v>5790.7438461538459</v>
      </c>
      <c r="I270" s="79">
        <f>AVERAGE($F$239:F270)</f>
        <v>6126.7737499999994</v>
      </c>
      <c r="J270" s="84">
        <f t="shared" si="31"/>
        <v>318592.23499999999</v>
      </c>
      <c r="K270" s="79">
        <f t="shared" si="33"/>
        <v>299928.69999999995</v>
      </c>
      <c r="L270" s="85">
        <f t="shared" si="32"/>
        <v>1021.1289583333332</v>
      </c>
      <c r="M270" s="79">
        <f t="shared" si="34"/>
        <v>1020350.4393000001</v>
      </c>
    </row>
    <row r="271" spans="1:13" x14ac:dyDescent="0.2">
      <c r="A271" s="83">
        <v>41504</v>
      </c>
      <c r="B271" s="79">
        <v>0</v>
      </c>
      <c r="C271" s="79">
        <v>0</v>
      </c>
      <c r="D271" s="95">
        <v>5441.35</v>
      </c>
      <c r="E271" s="28">
        <f t="shared" si="30"/>
        <v>272.06750000000005</v>
      </c>
      <c r="F271" s="79">
        <f t="shared" si="36"/>
        <v>5441.35</v>
      </c>
      <c r="G271" s="79">
        <f t="shared" si="35"/>
        <v>5629.9675000000007</v>
      </c>
      <c r="H271" s="79">
        <f t="shared" si="29"/>
        <v>5642.9323076923074</v>
      </c>
      <c r="I271" s="79">
        <f>AVERAGE($F$239:F271)</f>
        <v>6106.0033333333331</v>
      </c>
      <c r="J271" s="84">
        <f t="shared" si="31"/>
        <v>317512.17333333334</v>
      </c>
      <c r="K271" s="79">
        <f t="shared" si="33"/>
        <v>301043.73999999993</v>
      </c>
      <c r="L271" s="85">
        <f t="shared" si="32"/>
        <v>1017.6672222222222</v>
      </c>
      <c r="M271" s="79">
        <f t="shared" si="34"/>
        <v>1025791.7893000001</v>
      </c>
    </row>
    <row r="272" spans="1:13" x14ac:dyDescent="0.2">
      <c r="A272" s="83">
        <v>41511</v>
      </c>
      <c r="B272" s="79">
        <v>0</v>
      </c>
      <c r="C272" s="79">
        <v>0</v>
      </c>
      <c r="D272" s="103">
        <v>6663.53</v>
      </c>
      <c r="E272" s="28">
        <f t="shared" si="30"/>
        <v>333.17650000000003</v>
      </c>
      <c r="F272" s="79">
        <f t="shared" si="36"/>
        <v>6663.53</v>
      </c>
      <c r="G272" s="79">
        <f t="shared" si="35"/>
        <v>6218.9174999999996</v>
      </c>
      <c r="H272" s="79">
        <f t="shared" ref="H272:H335" si="37">AVERAGE(F260:F272)</f>
        <v>5745.5999999999995</v>
      </c>
      <c r="I272" s="79">
        <f>AVERAGE($F$239:F272)</f>
        <v>6122.4011764705874</v>
      </c>
      <c r="J272" s="84">
        <f t="shared" si="31"/>
        <v>318364.86117647053</v>
      </c>
      <c r="K272" s="79">
        <f t="shared" si="33"/>
        <v>302543.84000000003</v>
      </c>
      <c r="L272" s="85">
        <f t="shared" si="32"/>
        <v>1020.4001960784312</v>
      </c>
      <c r="M272" s="79">
        <f t="shared" si="34"/>
        <v>1032455.3193000001</v>
      </c>
    </row>
    <row r="273" spans="1:13" x14ac:dyDescent="0.2">
      <c r="A273" s="83">
        <v>41518</v>
      </c>
      <c r="B273" s="79">
        <v>0</v>
      </c>
      <c r="C273" s="79">
        <v>0</v>
      </c>
      <c r="D273" s="95">
        <v>4815.9399999999996</v>
      </c>
      <c r="E273" s="28">
        <f t="shared" si="30"/>
        <v>240.797</v>
      </c>
      <c r="F273" s="79">
        <f t="shared" si="36"/>
        <v>4815.9399999999996</v>
      </c>
      <c r="G273" s="79">
        <f t="shared" si="35"/>
        <v>5595.4949999999999</v>
      </c>
      <c r="H273" s="79">
        <f t="shared" si="37"/>
        <v>5499.7899999999991</v>
      </c>
      <c r="I273" s="79">
        <f>AVERAGE($F$239:F273)</f>
        <v>6085.0737142857142</v>
      </c>
      <c r="J273" s="84">
        <f t="shared" si="31"/>
        <v>316423.83314285713</v>
      </c>
      <c r="K273" s="79">
        <f t="shared" si="33"/>
        <v>302685.14</v>
      </c>
      <c r="L273" s="85">
        <f t="shared" si="32"/>
        <v>1014.1789523809524</v>
      </c>
      <c r="M273" s="79">
        <f t="shared" si="34"/>
        <v>1037271.2593</v>
      </c>
    </row>
    <row r="274" spans="1:13" x14ac:dyDescent="0.2">
      <c r="A274" s="83">
        <v>41525</v>
      </c>
      <c r="B274" s="79">
        <v>0</v>
      </c>
      <c r="C274" s="79">
        <v>0</v>
      </c>
      <c r="D274" s="95">
        <v>5131.3</v>
      </c>
      <c r="E274" s="28">
        <f t="shared" si="30"/>
        <v>256.565</v>
      </c>
      <c r="F274" s="79">
        <f t="shared" si="36"/>
        <v>5131.3</v>
      </c>
      <c r="G274" s="79">
        <f t="shared" si="35"/>
        <v>5513.03</v>
      </c>
      <c r="H274" s="79">
        <f t="shared" si="37"/>
        <v>5559.3499999999995</v>
      </c>
      <c r="I274" s="79">
        <f>AVERAGE($F$239:F274)</f>
        <v>6058.579999999999</v>
      </c>
      <c r="J274" s="84">
        <f t="shared" si="31"/>
        <v>315046.15999999997</v>
      </c>
      <c r="K274" s="79">
        <f t="shared" si="33"/>
        <v>304309.34999999998</v>
      </c>
      <c r="L274" s="85">
        <f t="shared" si="32"/>
        <v>1009.7633333333332</v>
      </c>
      <c r="M274" s="79">
        <f t="shared" si="34"/>
        <v>1042402.5593000001</v>
      </c>
    </row>
    <row r="275" spans="1:13" x14ac:dyDescent="0.2">
      <c r="A275" s="83">
        <v>41532</v>
      </c>
      <c r="B275" s="79">
        <v>0</v>
      </c>
      <c r="C275" s="79">
        <v>0</v>
      </c>
      <c r="D275" s="103">
        <v>4670.71</v>
      </c>
      <c r="E275" s="28">
        <f t="shared" si="30"/>
        <v>233.53550000000001</v>
      </c>
      <c r="F275" s="79">
        <f t="shared" si="36"/>
        <v>4670.71</v>
      </c>
      <c r="G275" s="79">
        <f t="shared" si="35"/>
        <v>5320.37</v>
      </c>
      <c r="H275" s="79">
        <f t="shared" si="37"/>
        <v>5434.3000000000011</v>
      </c>
      <c r="I275" s="79">
        <f>AVERAGE($F$239:F275)</f>
        <v>6021.0699999999988</v>
      </c>
      <c r="J275" s="84">
        <f t="shared" si="31"/>
        <v>313095.63999999996</v>
      </c>
      <c r="K275" s="79">
        <f t="shared" si="33"/>
        <v>304046.42999999993</v>
      </c>
      <c r="L275" s="85">
        <f t="shared" si="32"/>
        <v>1003.5116666666664</v>
      </c>
      <c r="M275" s="79">
        <f t="shared" si="34"/>
        <v>1047073.2693</v>
      </c>
    </row>
    <row r="276" spans="1:13" x14ac:dyDescent="0.2">
      <c r="A276" s="83">
        <v>41539</v>
      </c>
      <c r="B276" s="79">
        <v>0</v>
      </c>
      <c r="C276" s="79">
        <v>0</v>
      </c>
      <c r="D276" s="95">
        <v>3867.33</v>
      </c>
      <c r="E276" s="28">
        <f t="shared" si="30"/>
        <v>193.3665</v>
      </c>
      <c r="F276" s="79">
        <f t="shared" si="36"/>
        <v>3867.33</v>
      </c>
      <c r="G276" s="79">
        <f t="shared" si="35"/>
        <v>4621.32</v>
      </c>
      <c r="H276" s="79">
        <f t="shared" si="37"/>
        <v>5230.123846153846</v>
      </c>
      <c r="I276" s="79">
        <f>AVERAGE($F$239:F276)</f>
        <v>5964.3926315789458</v>
      </c>
      <c r="J276" s="84">
        <f t="shared" si="31"/>
        <v>310148.41684210516</v>
      </c>
      <c r="K276" s="79">
        <f t="shared" si="33"/>
        <v>302449.51</v>
      </c>
      <c r="L276" s="85">
        <f t="shared" si="32"/>
        <v>994.06543859649094</v>
      </c>
      <c r="M276" s="79">
        <f t="shared" si="34"/>
        <v>1050940.5993000001</v>
      </c>
    </row>
    <row r="277" spans="1:13" x14ac:dyDescent="0.2">
      <c r="A277" s="83">
        <v>41546</v>
      </c>
      <c r="B277" s="79">
        <v>0</v>
      </c>
      <c r="C277" s="79">
        <v>0</v>
      </c>
      <c r="D277" s="95">
        <v>6216.6</v>
      </c>
      <c r="E277" s="28">
        <f t="shared" si="30"/>
        <v>310.83000000000004</v>
      </c>
      <c r="F277" s="79">
        <f t="shared" si="36"/>
        <v>6216.6</v>
      </c>
      <c r="G277" s="79">
        <f t="shared" si="35"/>
        <v>4971.4850000000006</v>
      </c>
      <c r="H277" s="79">
        <f t="shared" si="37"/>
        <v>5188.3838461538462</v>
      </c>
      <c r="I277" s="79">
        <f>AVERAGE($F$239:F277)</f>
        <v>5970.8594871794858</v>
      </c>
      <c r="J277" s="84">
        <f t="shared" si="31"/>
        <v>310484.69333333324</v>
      </c>
      <c r="K277" s="79">
        <f t="shared" si="33"/>
        <v>303782.33</v>
      </c>
      <c r="L277" s="85">
        <f t="shared" si="32"/>
        <v>995.14324786324767</v>
      </c>
      <c r="M277" s="79">
        <f t="shared" si="34"/>
        <v>1057157.1993000002</v>
      </c>
    </row>
    <row r="278" spans="1:13" x14ac:dyDescent="0.2">
      <c r="A278" s="83">
        <v>41553</v>
      </c>
      <c r="B278" s="79">
        <v>0</v>
      </c>
      <c r="C278" s="79">
        <v>0</v>
      </c>
      <c r="D278" s="103">
        <v>5871.75</v>
      </c>
      <c r="E278" s="28">
        <f t="shared" si="30"/>
        <v>293.58750000000003</v>
      </c>
      <c r="F278" s="79">
        <f t="shared" si="36"/>
        <v>5871.75</v>
      </c>
      <c r="G278" s="79">
        <f t="shared" si="35"/>
        <v>5156.5974999999999</v>
      </c>
      <c r="H278" s="79">
        <f t="shared" si="37"/>
        <v>5229.8569230769244</v>
      </c>
      <c r="I278" s="79">
        <f>AVERAGE($F$239:F278)</f>
        <v>5968.3817499999986</v>
      </c>
      <c r="J278" s="84">
        <f t="shared" si="31"/>
        <v>310355.85099999991</v>
      </c>
      <c r="K278" s="79">
        <f t="shared" si="33"/>
        <v>301211.64</v>
      </c>
      <c r="L278" s="85">
        <f t="shared" si="32"/>
        <v>994.7302916666664</v>
      </c>
      <c r="M278" s="79">
        <f t="shared" si="34"/>
        <v>1063028.9493000002</v>
      </c>
    </row>
    <row r="279" spans="1:13" x14ac:dyDescent="0.2">
      <c r="A279" s="83">
        <v>41560</v>
      </c>
      <c r="B279" s="79">
        <v>0</v>
      </c>
      <c r="C279" s="79">
        <v>0</v>
      </c>
      <c r="D279" s="95">
        <v>9196.6299999999992</v>
      </c>
      <c r="E279" s="28">
        <f t="shared" si="30"/>
        <v>459.83150000000001</v>
      </c>
      <c r="F279" s="79">
        <f t="shared" si="36"/>
        <v>9196.6299999999992</v>
      </c>
      <c r="G279" s="79">
        <f t="shared" si="35"/>
        <v>6288.0774999999994</v>
      </c>
      <c r="H279" s="79">
        <f t="shared" si="37"/>
        <v>5594.9230769230771</v>
      </c>
      <c r="I279" s="79">
        <f>AVERAGE($F$239:F279)</f>
        <v>6047.1195121951214</v>
      </c>
      <c r="J279" s="84">
        <f t="shared" si="31"/>
        <v>314450.21463414631</v>
      </c>
      <c r="K279" s="79">
        <f t="shared" si="33"/>
        <v>303636.47000000003</v>
      </c>
      <c r="L279" s="85">
        <f t="shared" si="32"/>
        <v>1007.8532520325202</v>
      </c>
      <c r="M279" s="79">
        <f t="shared" si="34"/>
        <v>1072225.5793000001</v>
      </c>
    </row>
    <row r="280" spans="1:13" x14ac:dyDescent="0.2">
      <c r="A280" s="83">
        <v>41567</v>
      </c>
      <c r="B280" s="79">
        <v>0</v>
      </c>
      <c r="C280" s="79">
        <v>0</v>
      </c>
      <c r="D280" s="95">
        <v>4559.75</v>
      </c>
      <c r="E280" s="28">
        <f t="shared" si="30"/>
        <v>227.98750000000001</v>
      </c>
      <c r="F280" s="79">
        <f t="shared" si="36"/>
        <v>4559.75</v>
      </c>
      <c r="G280" s="79">
        <f t="shared" si="35"/>
        <v>6461.1824999999999</v>
      </c>
      <c r="H280" s="79">
        <f t="shared" si="37"/>
        <v>5654.877692307693</v>
      </c>
      <c r="I280" s="79">
        <f>AVERAGE($F$239:F280)</f>
        <v>6011.7059523809512</v>
      </c>
      <c r="J280" s="84">
        <f t="shared" si="31"/>
        <v>312608.70952380949</v>
      </c>
      <c r="K280" s="79">
        <f t="shared" si="33"/>
        <v>302104.78999999998</v>
      </c>
      <c r="L280" s="85">
        <f t="shared" si="32"/>
        <v>1001.9509920634919</v>
      </c>
      <c r="M280" s="79">
        <f t="shared" si="34"/>
        <v>1076785.3293000001</v>
      </c>
    </row>
    <row r="281" spans="1:13" x14ac:dyDescent="0.2">
      <c r="A281" s="83">
        <v>41574</v>
      </c>
      <c r="B281" s="79">
        <v>0</v>
      </c>
      <c r="C281" s="79">
        <v>0</v>
      </c>
      <c r="D281" s="103">
        <v>6731.77</v>
      </c>
      <c r="E281" s="28">
        <f t="shared" si="30"/>
        <v>336.58850000000007</v>
      </c>
      <c r="F281" s="79">
        <f t="shared" si="36"/>
        <v>6731.77</v>
      </c>
      <c r="G281" s="79">
        <f t="shared" si="35"/>
        <v>6589.9749999999995</v>
      </c>
      <c r="H281" s="79">
        <f t="shared" si="37"/>
        <v>5841.3423076923073</v>
      </c>
      <c r="I281" s="79">
        <f>AVERAGE($F$239:F281)</f>
        <v>6028.4516279069758</v>
      </c>
      <c r="J281" s="84">
        <f t="shared" si="31"/>
        <v>313479.48465116275</v>
      </c>
      <c r="K281" s="79">
        <f t="shared" si="33"/>
        <v>301591.53000000003</v>
      </c>
      <c r="L281" s="85">
        <f t="shared" si="32"/>
        <v>1004.741937984496</v>
      </c>
      <c r="M281" s="79">
        <f t="shared" si="34"/>
        <v>1083517.0993000001</v>
      </c>
    </row>
    <row r="282" spans="1:13" x14ac:dyDescent="0.2">
      <c r="A282" s="83">
        <v>41581</v>
      </c>
      <c r="B282" s="79">
        <v>0</v>
      </c>
      <c r="C282" s="79">
        <v>0</v>
      </c>
      <c r="D282" s="95">
        <v>6677.24</v>
      </c>
      <c r="E282" s="28">
        <f t="shared" si="30"/>
        <v>333.86200000000002</v>
      </c>
      <c r="F282" s="79">
        <f t="shared" si="36"/>
        <v>6677.24</v>
      </c>
      <c r="G282" s="79">
        <f t="shared" si="35"/>
        <v>6791.3474999999999</v>
      </c>
      <c r="H282" s="79">
        <f t="shared" si="37"/>
        <v>5792.6969230769228</v>
      </c>
      <c r="I282" s="79">
        <f>AVERAGE($F$239:F282)</f>
        <v>6043.1968181818174</v>
      </c>
      <c r="J282" s="84">
        <f t="shared" si="31"/>
        <v>314246.2345454545</v>
      </c>
      <c r="K282" s="79">
        <f t="shared" si="33"/>
        <v>302060.64999999997</v>
      </c>
      <c r="L282" s="85">
        <f t="shared" si="32"/>
        <v>1007.1994696969696</v>
      </c>
      <c r="M282" s="79">
        <f t="shared" si="34"/>
        <v>1090194.3393000001</v>
      </c>
    </row>
    <row r="283" spans="1:13" x14ac:dyDescent="0.2">
      <c r="A283" s="83">
        <v>41588</v>
      </c>
      <c r="B283" s="79">
        <v>0</v>
      </c>
      <c r="C283" s="79">
        <v>0</v>
      </c>
      <c r="D283" s="95">
        <v>4040.87</v>
      </c>
      <c r="E283" s="28">
        <f t="shared" si="30"/>
        <v>202.04349999999999</v>
      </c>
      <c r="F283" s="79">
        <f t="shared" si="36"/>
        <v>4040.87</v>
      </c>
      <c r="G283" s="79">
        <f t="shared" si="35"/>
        <v>5502.4075000000003</v>
      </c>
      <c r="H283" s="79">
        <f t="shared" si="37"/>
        <v>5683.4438461538457</v>
      </c>
      <c r="I283" s="79">
        <f>AVERAGE($F$239:F283)</f>
        <v>5998.7006666666657</v>
      </c>
      <c r="J283" s="84">
        <f t="shared" si="31"/>
        <v>311932.43466666661</v>
      </c>
      <c r="K283" s="79">
        <f t="shared" si="33"/>
        <v>300461.27999999997</v>
      </c>
      <c r="L283" s="85">
        <f t="shared" si="32"/>
        <v>999.78344444444429</v>
      </c>
      <c r="M283" s="79">
        <f t="shared" si="34"/>
        <v>1094235.2093000002</v>
      </c>
    </row>
    <row r="284" spans="1:13" x14ac:dyDescent="0.2">
      <c r="A284" s="83">
        <v>41595</v>
      </c>
      <c r="B284" s="79">
        <v>0</v>
      </c>
      <c r="C284" s="79">
        <v>0</v>
      </c>
      <c r="D284" s="103">
        <v>3304.48</v>
      </c>
      <c r="E284" s="28">
        <f t="shared" si="30"/>
        <v>165.22400000000002</v>
      </c>
      <c r="F284" s="79">
        <f t="shared" si="36"/>
        <v>3304.48</v>
      </c>
      <c r="G284" s="79">
        <f t="shared" si="35"/>
        <v>5188.59</v>
      </c>
      <c r="H284" s="79">
        <f t="shared" si="37"/>
        <v>5519.0692307692307</v>
      </c>
      <c r="I284" s="79">
        <f>AVERAGE($F$239:F284)</f>
        <v>5940.1306521739116</v>
      </c>
      <c r="J284" s="84">
        <f t="shared" si="31"/>
        <v>308886.7939130434</v>
      </c>
      <c r="K284" s="79">
        <f t="shared" si="33"/>
        <v>300625.52999999991</v>
      </c>
      <c r="L284" s="85">
        <f t="shared" si="32"/>
        <v>990.02177536231864</v>
      </c>
      <c r="M284" s="79">
        <f t="shared" si="34"/>
        <v>1097539.6893000002</v>
      </c>
    </row>
    <row r="285" spans="1:13" x14ac:dyDescent="0.2">
      <c r="A285" s="83">
        <v>41602</v>
      </c>
      <c r="B285" s="79">
        <v>0</v>
      </c>
      <c r="C285" s="79">
        <v>0</v>
      </c>
      <c r="D285" s="95">
        <v>5321.11</v>
      </c>
      <c r="E285" s="28">
        <f t="shared" si="30"/>
        <v>266.05549999999999</v>
      </c>
      <c r="F285" s="79">
        <f t="shared" si="36"/>
        <v>5321.11</v>
      </c>
      <c r="G285" s="79">
        <f t="shared" si="35"/>
        <v>4835.9250000000002</v>
      </c>
      <c r="H285" s="79">
        <f t="shared" si="37"/>
        <v>5415.8061538461534</v>
      </c>
      <c r="I285" s="79">
        <f>AVERAGE($F$239:F285)</f>
        <v>5926.9599999999982</v>
      </c>
      <c r="J285" s="84">
        <f t="shared" si="31"/>
        <v>308201.91999999993</v>
      </c>
      <c r="K285" s="79">
        <f t="shared" si="33"/>
        <v>301330.46999999991</v>
      </c>
      <c r="L285" s="85">
        <f t="shared" si="32"/>
        <v>987.82666666666637</v>
      </c>
      <c r="M285" s="79">
        <f t="shared" si="34"/>
        <v>1102860.7993000003</v>
      </c>
    </row>
    <row r="286" spans="1:13" x14ac:dyDescent="0.2">
      <c r="A286" s="83">
        <v>41609</v>
      </c>
      <c r="B286" s="79">
        <v>0</v>
      </c>
      <c r="C286" s="79">
        <v>0</v>
      </c>
      <c r="D286" s="95">
        <v>3547.24</v>
      </c>
      <c r="E286" s="28">
        <f t="shared" si="30"/>
        <v>177.36199999999999</v>
      </c>
      <c r="F286" s="79">
        <f t="shared" si="36"/>
        <v>3547.24</v>
      </c>
      <c r="G286" s="79">
        <f t="shared" si="35"/>
        <v>4053.4249999999997</v>
      </c>
      <c r="H286" s="79">
        <f t="shared" si="37"/>
        <v>5318.2138461538461</v>
      </c>
      <c r="I286" s="79">
        <f>AVERAGE($F$239:F286)</f>
        <v>5877.3824999999988</v>
      </c>
      <c r="J286" s="84">
        <f t="shared" si="31"/>
        <v>305623.88999999996</v>
      </c>
      <c r="K286" s="79">
        <f t="shared" si="33"/>
        <v>299321.96999999991</v>
      </c>
      <c r="L286" s="85">
        <f t="shared" si="32"/>
        <v>979.5637499999998</v>
      </c>
      <c r="M286" s="79">
        <f t="shared" si="34"/>
        <v>1106408.0393000003</v>
      </c>
    </row>
    <row r="287" spans="1:13" x14ac:dyDescent="0.2">
      <c r="A287" s="83">
        <v>41616</v>
      </c>
      <c r="B287" s="79">
        <v>0</v>
      </c>
      <c r="C287" s="79">
        <v>0</v>
      </c>
      <c r="D287" s="103">
        <v>5334.15</v>
      </c>
      <c r="E287" s="28">
        <f t="shared" si="30"/>
        <v>266.70749999999998</v>
      </c>
      <c r="F287" s="79">
        <f t="shared" si="36"/>
        <v>5334.15</v>
      </c>
      <c r="G287" s="79">
        <f t="shared" si="35"/>
        <v>4376.7449999999999</v>
      </c>
      <c r="H287" s="79">
        <f t="shared" si="37"/>
        <v>5333.8176923076917</v>
      </c>
      <c r="I287" s="79">
        <f>AVERAGE($F$239:F287)</f>
        <v>5866.2961224489782</v>
      </c>
      <c r="J287" s="84">
        <f t="shared" si="31"/>
        <v>305047.39836734685</v>
      </c>
      <c r="K287" s="79">
        <f t="shared" si="33"/>
        <v>298851.77999999991</v>
      </c>
      <c r="L287" s="85">
        <f t="shared" ref="L287:L344" si="38">+I287/6</f>
        <v>977.71602040816299</v>
      </c>
      <c r="M287" s="79">
        <f t="shared" si="34"/>
        <v>1111742.1893000002</v>
      </c>
    </row>
    <row r="288" spans="1:13" x14ac:dyDescent="0.2">
      <c r="A288" s="83">
        <v>41623</v>
      </c>
      <c r="B288" s="79">
        <v>0</v>
      </c>
      <c r="C288" s="79">
        <v>0</v>
      </c>
      <c r="D288" s="95">
        <v>4936.71</v>
      </c>
      <c r="E288" s="28">
        <f t="shared" si="30"/>
        <v>246.83550000000002</v>
      </c>
      <c r="F288" s="79">
        <f t="shared" si="36"/>
        <v>4936.71</v>
      </c>
      <c r="G288" s="79">
        <f t="shared" si="35"/>
        <v>4784.8024999999998</v>
      </c>
      <c r="H288" s="79">
        <f t="shared" si="37"/>
        <v>5354.2792307692307</v>
      </c>
      <c r="I288" s="79">
        <f>AVERAGE($F$239:F288)</f>
        <v>5847.7043999999996</v>
      </c>
      <c r="J288" s="84">
        <f t="shared" si="31"/>
        <v>304080.62880000001</v>
      </c>
      <c r="K288" s="79">
        <f t="shared" si="33"/>
        <v>300841.88999999996</v>
      </c>
      <c r="L288" s="85">
        <f t="shared" si="38"/>
        <v>974.61739999999998</v>
      </c>
      <c r="M288" s="79">
        <f t="shared" si="34"/>
        <v>1116678.8993000002</v>
      </c>
    </row>
    <row r="289" spans="1:13" x14ac:dyDescent="0.2">
      <c r="A289" s="83">
        <v>41630</v>
      </c>
      <c r="B289" s="79">
        <v>0</v>
      </c>
      <c r="C289" s="79">
        <v>0</v>
      </c>
      <c r="D289" s="103">
        <v>5563.21</v>
      </c>
      <c r="E289" s="28">
        <f t="shared" si="30"/>
        <v>278.16050000000001</v>
      </c>
      <c r="F289" s="79">
        <f t="shared" si="36"/>
        <v>5563.21</v>
      </c>
      <c r="G289" s="79">
        <f t="shared" si="35"/>
        <v>4845.3274999999994</v>
      </c>
      <c r="H289" s="79">
        <f t="shared" si="37"/>
        <v>5484.7315384615395</v>
      </c>
      <c r="I289" s="79">
        <f>AVERAGE($F$239:F289)</f>
        <v>5842.1260784313727</v>
      </c>
      <c r="J289" s="84">
        <f t="shared" si="31"/>
        <v>303790.55607843137</v>
      </c>
      <c r="K289" s="79">
        <f t="shared" si="33"/>
        <v>301740.45999999996</v>
      </c>
      <c r="L289" s="85">
        <f t="shared" si="38"/>
        <v>973.68767973856211</v>
      </c>
      <c r="M289" s="79">
        <f t="shared" si="34"/>
        <v>1122242.1093000001</v>
      </c>
    </row>
    <row r="290" spans="1:13" x14ac:dyDescent="0.2">
      <c r="A290" s="83">
        <v>41637</v>
      </c>
      <c r="B290" s="79">
        <v>0</v>
      </c>
      <c r="C290" s="79">
        <v>0</v>
      </c>
      <c r="D290" s="103">
        <v>3220.76</v>
      </c>
      <c r="E290" s="28">
        <f t="shared" si="30"/>
        <v>161.03800000000001</v>
      </c>
      <c r="F290" s="79">
        <f t="shared" si="36"/>
        <v>3220.76</v>
      </c>
      <c r="G290" s="79">
        <f t="shared" si="35"/>
        <v>4763.7075000000004</v>
      </c>
      <c r="H290" s="79">
        <f t="shared" si="37"/>
        <v>5254.2823076923078</v>
      </c>
      <c r="I290" s="79">
        <f>AVERAGE($F$239:F290)</f>
        <v>5791.7151923076926</v>
      </c>
      <c r="J290" s="84">
        <f t="shared" si="31"/>
        <v>301169.19</v>
      </c>
      <c r="K290" s="92">
        <f t="shared" si="33"/>
        <v>301169.19</v>
      </c>
      <c r="L290" s="93">
        <f t="shared" si="38"/>
        <v>965.28586538461548</v>
      </c>
      <c r="M290" s="79">
        <f t="shared" si="34"/>
        <v>1125462.8693000001</v>
      </c>
    </row>
    <row r="291" spans="1:13" x14ac:dyDescent="0.2">
      <c r="A291" s="83">
        <v>41644</v>
      </c>
      <c r="B291" s="79">
        <v>0</v>
      </c>
      <c r="C291" s="79">
        <v>0</v>
      </c>
      <c r="D291" s="95">
        <v>3113.65</v>
      </c>
      <c r="E291" s="28">
        <f t="shared" si="30"/>
        <v>155.6825</v>
      </c>
      <c r="F291" s="79">
        <f t="shared" si="36"/>
        <v>3113.65</v>
      </c>
      <c r="G291" s="79">
        <f t="shared" si="35"/>
        <v>4208.5825000000004</v>
      </c>
      <c r="H291" s="79">
        <f t="shared" si="37"/>
        <v>5042.1207692307689</v>
      </c>
      <c r="I291" s="79">
        <f>AVERAGE($F$291:F291)</f>
        <v>3113.65</v>
      </c>
      <c r="J291" s="84">
        <f t="shared" si="31"/>
        <v>161909.80000000002</v>
      </c>
      <c r="K291" s="79">
        <f t="shared" si="33"/>
        <v>302720.49</v>
      </c>
      <c r="L291" s="85">
        <f t="shared" si="38"/>
        <v>518.94166666666672</v>
      </c>
      <c r="M291" s="79">
        <f t="shared" si="34"/>
        <v>1128576.5193</v>
      </c>
    </row>
    <row r="292" spans="1:13" x14ac:dyDescent="0.2">
      <c r="A292" s="83">
        <v>41651</v>
      </c>
      <c r="B292" s="79">
        <v>0</v>
      </c>
      <c r="C292" s="79">
        <v>0</v>
      </c>
      <c r="D292" s="103">
        <v>7377.56</v>
      </c>
      <c r="E292" s="28">
        <f t="shared" si="30"/>
        <v>368.87800000000004</v>
      </c>
      <c r="F292" s="79">
        <f t="shared" si="36"/>
        <v>7377.56</v>
      </c>
      <c r="G292" s="79">
        <f t="shared" si="35"/>
        <v>4818.7950000000001</v>
      </c>
      <c r="H292" s="79">
        <f t="shared" si="37"/>
        <v>4902.1923076923076</v>
      </c>
      <c r="I292" s="79">
        <f>AVERAGE($F$291:F292)</f>
        <v>5245.6050000000005</v>
      </c>
      <c r="J292" s="84">
        <f t="shared" si="31"/>
        <v>272771.46000000002</v>
      </c>
      <c r="K292" s="79">
        <f t="shared" si="33"/>
        <v>307436.07</v>
      </c>
      <c r="L292" s="85">
        <f t="shared" si="38"/>
        <v>874.26750000000004</v>
      </c>
      <c r="M292" s="79">
        <f t="shared" si="34"/>
        <v>1135954.0793000001</v>
      </c>
    </row>
    <row r="293" spans="1:13" x14ac:dyDescent="0.2">
      <c r="A293" s="83">
        <v>41658</v>
      </c>
      <c r="B293" s="79">
        <v>0</v>
      </c>
      <c r="C293" s="79">
        <v>0</v>
      </c>
      <c r="D293" s="103">
        <v>5621.38</v>
      </c>
      <c r="E293" s="28">
        <f t="shared" si="30"/>
        <v>281.06900000000002</v>
      </c>
      <c r="F293" s="79">
        <f t="shared" si="36"/>
        <v>5621.38</v>
      </c>
      <c r="G293" s="79">
        <f t="shared" si="35"/>
        <v>4833.3375000000005</v>
      </c>
      <c r="H293" s="79">
        <f t="shared" si="37"/>
        <v>4983.8561538461536</v>
      </c>
      <c r="I293" s="79">
        <f>AVERAGE($F$291:F293)</f>
        <v>5370.8633333333337</v>
      </c>
      <c r="J293" s="84">
        <f t="shared" si="31"/>
        <v>279284.89333333337</v>
      </c>
      <c r="K293" s="91">
        <f t="shared" si="33"/>
        <v>308571.39</v>
      </c>
      <c r="L293" s="85">
        <f t="shared" si="38"/>
        <v>895.14388888888891</v>
      </c>
      <c r="M293" s="79">
        <f t="shared" si="34"/>
        <v>1141575.4593</v>
      </c>
    </row>
    <row r="294" spans="1:13" x14ac:dyDescent="0.2">
      <c r="A294" s="83">
        <v>41665</v>
      </c>
      <c r="B294" s="79">
        <v>0</v>
      </c>
      <c r="C294" s="79">
        <v>0</v>
      </c>
      <c r="D294" s="95">
        <v>6435.39</v>
      </c>
      <c r="E294" s="28">
        <f t="shared" si="30"/>
        <v>321.76950000000005</v>
      </c>
      <c r="F294" s="79">
        <f t="shared" si="36"/>
        <v>6435.39</v>
      </c>
      <c r="G294" s="79">
        <f t="shared" si="35"/>
        <v>5636.9949999999999</v>
      </c>
      <c r="H294" s="79">
        <f t="shared" si="37"/>
        <v>4961.0576923076924</v>
      </c>
      <c r="I294" s="79">
        <f>AVERAGE($F$291:F294)</f>
        <v>5636.9949999999999</v>
      </c>
      <c r="J294" s="84">
        <f t="shared" si="31"/>
        <v>293123.74</v>
      </c>
      <c r="K294" s="79">
        <f t="shared" si="33"/>
        <v>310729.83</v>
      </c>
      <c r="L294" s="85">
        <f t="shared" si="38"/>
        <v>939.49916666666661</v>
      </c>
      <c r="M294" s="79">
        <f t="shared" si="34"/>
        <v>1148010.8492999999</v>
      </c>
    </row>
    <row r="295" spans="1:13" x14ac:dyDescent="0.2">
      <c r="A295" s="83">
        <v>41672</v>
      </c>
      <c r="B295" s="79">
        <v>0</v>
      </c>
      <c r="C295" s="79">
        <v>0</v>
      </c>
      <c r="D295" s="103">
        <v>4671.51</v>
      </c>
      <c r="E295" s="28">
        <f t="shared" si="30"/>
        <v>233.57550000000003</v>
      </c>
      <c r="F295" s="79">
        <f t="shared" si="36"/>
        <v>4671.51</v>
      </c>
      <c r="G295" s="79">
        <f t="shared" si="35"/>
        <v>6026.4600000000009</v>
      </c>
      <c r="H295" s="79">
        <f t="shared" si="37"/>
        <v>4806.7707692307686</v>
      </c>
      <c r="I295" s="79">
        <f>AVERAGE($F$291:F295)</f>
        <v>5443.8979999999992</v>
      </c>
      <c r="J295" s="84">
        <f t="shared" si="31"/>
        <v>283082.69599999994</v>
      </c>
      <c r="K295" s="79">
        <f t="shared" si="33"/>
        <v>311891.77000000008</v>
      </c>
      <c r="L295" s="85">
        <f t="shared" si="38"/>
        <v>907.3163333333332</v>
      </c>
      <c r="M295" s="79">
        <f t="shared" si="34"/>
        <v>1152682.3592999999</v>
      </c>
    </row>
    <row r="296" spans="1:13" x14ac:dyDescent="0.2">
      <c r="A296" s="83">
        <v>41679</v>
      </c>
      <c r="B296" s="79">
        <v>0</v>
      </c>
      <c r="C296" s="79">
        <v>0</v>
      </c>
      <c r="D296" s="103">
        <v>4521.05</v>
      </c>
      <c r="E296" s="28">
        <f t="shared" si="30"/>
        <v>226.05250000000001</v>
      </c>
      <c r="F296" s="79">
        <f t="shared" si="36"/>
        <v>4521.05</v>
      </c>
      <c r="G296" s="79">
        <f t="shared" si="35"/>
        <v>5312.3324999999995</v>
      </c>
      <c r="H296" s="79">
        <f t="shared" si="37"/>
        <v>4843.707692307692</v>
      </c>
      <c r="I296" s="79">
        <f>AVERAGE($F$291:F296)</f>
        <v>5290.0899999999992</v>
      </c>
      <c r="J296" s="84">
        <f t="shared" si="31"/>
        <v>275084.67999999993</v>
      </c>
      <c r="K296" s="91">
        <f t="shared" si="33"/>
        <v>307625.81000000006</v>
      </c>
      <c r="L296" s="85">
        <f t="shared" si="38"/>
        <v>881.6816666666665</v>
      </c>
      <c r="M296" s="79">
        <f t="shared" si="34"/>
        <v>1157203.4092999999</v>
      </c>
    </row>
    <row r="297" spans="1:13" x14ac:dyDescent="0.2">
      <c r="A297" s="83">
        <v>41686</v>
      </c>
      <c r="B297" s="79">
        <v>0</v>
      </c>
      <c r="C297" s="79">
        <v>0</v>
      </c>
      <c r="D297" s="95">
        <v>8005.36</v>
      </c>
      <c r="E297" s="28">
        <f t="shared" si="30"/>
        <v>400.26800000000003</v>
      </c>
      <c r="F297" s="79">
        <f t="shared" si="36"/>
        <v>8005.36</v>
      </c>
      <c r="G297" s="79">
        <f t="shared" si="35"/>
        <v>5908.3275000000003</v>
      </c>
      <c r="H297" s="79">
        <f t="shared" si="37"/>
        <v>5205.3138461538465</v>
      </c>
      <c r="I297" s="79">
        <f>AVERAGE($F$291:F297)</f>
        <v>5677.9857142857136</v>
      </c>
      <c r="J297" s="84">
        <f t="shared" si="31"/>
        <v>295255.25714285712</v>
      </c>
      <c r="K297" s="79">
        <f t="shared" si="33"/>
        <v>308305.73</v>
      </c>
      <c r="L297" s="85">
        <f t="shared" si="38"/>
        <v>946.33095238095223</v>
      </c>
      <c r="M297" s="79">
        <f t="shared" si="34"/>
        <v>1165208.7693</v>
      </c>
    </row>
    <row r="298" spans="1:13" x14ac:dyDescent="0.2">
      <c r="A298" s="83">
        <v>41693</v>
      </c>
      <c r="B298" s="79">
        <v>0</v>
      </c>
      <c r="C298" s="79">
        <v>0</v>
      </c>
      <c r="D298" s="103">
        <v>11236.61</v>
      </c>
      <c r="E298" s="28">
        <f t="shared" si="30"/>
        <v>561.83050000000003</v>
      </c>
      <c r="F298" s="79">
        <f t="shared" si="36"/>
        <v>11236.61</v>
      </c>
      <c r="G298" s="79">
        <f t="shared" si="35"/>
        <v>7108.6325000000006</v>
      </c>
      <c r="H298" s="79">
        <f t="shared" si="37"/>
        <v>5660.3523076923075</v>
      </c>
      <c r="I298" s="79">
        <f>AVERAGE($F$291:F298)</f>
        <v>6372.8137499999993</v>
      </c>
      <c r="J298" s="84">
        <f t="shared" si="31"/>
        <v>331386.31499999994</v>
      </c>
      <c r="K298" s="79">
        <f t="shared" si="33"/>
        <v>312643.15999999992</v>
      </c>
      <c r="L298" s="85">
        <f t="shared" si="38"/>
        <v>1062.1356249999999</v>
      </c>
      <c r="M298" s="79">
        <f t="shared" si="34"/>
        <v>1176445.3793000001</v>
      </c>
    </row>
    <row r="299" spans="1:13" x14ac:dyDescent="0.2">
      <c r="A299" s="83">
        <v>41700</v>
      </c>
      <c r="B299" s="79">
        <v>0</v>
      </c>
      <c r="C299" s="79">
        <v>0</v>
      </c>
      <c r="D299" s="103">
        <v>11864.97</v>
      </c>
      <c r="E299" s="28">
        <f t="shared" si="30"/>
        <v>593.24850000000004</v>
      </c>
      <c r="F299" s="79">
        <f t="shared" si="36"/>
        <v>11864.97</v>
      </c>
      <c r="G299" s="79">
        <f t="shared" si="35"/>
        <v>8906.9974999999995</v>
      </c>
      <c r="H299" s="79">
        <f t="shared" si="37"/>
        <v>6300.1776923076932</v>
      </c>
      <c r="I299" s="79">
        <f>AVERAGE($F$291:F299)</f>
        <v>6983.0533333333333</v>
      </c>
      <c r="J299" s="84">
        <f t="shared" si="31"/>
        <v>363118.77333333332</v>
      </c>
      <c r="K299" s="91">
        <f t="shared" si="33"/>
        <v>316436.86999999994</v>
      </c>
      <c r="L299" s="85">
        <f t="shared" si="38"/>
        <v>1163.8422222222223</v>
      </c>
      <c r="M299" s="79">
        <f t="shared" si="34"/>
        <v>1188310.3493000001</v>
      </c>
    </row>
    <row r="300" spans="1:13" x14ac:dyDescent="0.2">
      <c r="A300" s="83">
        <v>41707</v>
      </c>
      <c r="B300" s="79">
        <v>0</v>
      </c>
      <c r="C300" s="79">
        <v>0</v>
      </c>
      <c r="D300" s="103">
        <v>7960.66</v>
      </c>
      <c r="E300" s="28">
        <f t="shared" si="30"/>
        <v>398.03300000000002</v>
      </c>
      <c r="F300" s="79">
        <v>7980.66</v>
      </c>
      <c r="G300" s="79">
        <f t="shared" si="35"/>
        <v>9771.9000000000015</v>
      </c>
      <c r="H300" s="79">
        <f t="shared" si="37"/>
        <v>6503.7553846153851</v>
      </c>
      <c r="I300" s="79">
        <f>AVERAGE($F$291:F300)</f>
        <v>7082.8140000000003</v>
      </c>
      <c r="J300" s="84">
        <f t="shared" si="31"/>
        <v>368306.32800000004</v>
      </c>
      <c r="K300" s="79">
        <f t="shared" si="33"/>
        <v>316860.14999999985</v>
      </c>
      <c r="L300" s="85">
        <f t="shared" si="38"/>
        <v>1180.4690000000001</v>
      </c>
      <c r="M300" s="79">
        <f t="shared" si="34"/>
        <v>1196291.0093</v>
      </c>
    </row>
    <row r="301" spans="1:13" x14ac:dyDescent="0.2">
      <c r="A301" s="83">
        <v>41714</v>
      </c>
      <c r="B301" s="79">
        <v>0</v>
      </c>
      <c r="C301" s="79">
        <v>0</v>
      </c>
      <c r="D301" s="103">
        <v>6636.72</v>
      </c>
      <c r="E301" s="28">
        <f t="shared" si="30"/>
        <v>331.83600000000001</v>
      </c>
      <c r="F301" s="79">
        <f t="shared" ref="F301:F340" si="39">SUM(B301:D301)</f>
        <v>6636.72</v>
      </c>
      <c r="G301" s="79">
        <f t="shared" si="35"/>
        <v>9429.74</v>
      </c>
      <c r="H301" s="79">
        <f t="shared" si="37"/>
        <v>6634.5253846153846</v>
      </c>
      <c r="I301" s="79">
        <f>AVERAGE($F$291:F301)</f>
        <v>7042.26</v>
      </c>
      <c r="J301" s="84">
        <f t="shared" si="31"/>
        <v>366197.52</v>
      </c>
      <c r="K301" s="79">
        <f t="shared" si="33"/>
        <v>313546.43999999983</v>
      </c>
      <c r="L301" s="85">
        <f t="shared" si="38"/>
        <v>1173.71</v>
      </c>
      <c r="M301" s="79">
        <f t="shared" si="34"/>
        <v>1202927.7293</v>
      </c>
    </row>
    <row r="302" spans="1:13" x14ac:dyDescent="0.2">
      <c r="A302" s="83">
        <v>41721</v>
      </c>
      <c r="B302" s="79">
        <v>0</v>
      </c>
      <c r="C302" s="79">
        <v>0</v>
      </c>
      <c r="D302" s="103">
        <v>6287.92</v>
      </c>
      <c r="E302" s="28">
        <f t="shared" si="30"/>
        <v>314.39600000000002</v>
      </c>
      <c r="F302" s="79">
        <f t="shared" si="39"/>
        <v>6287.92</v>
      </c>
      <c r="G302" s="79">
        <f t="shared" si="35"/>
        <v>8192.5674999999992</v>
      </c>
      <c r="H302" s="79">
        <f t="shared" si="37"/>
        <v>6690.2723076923085</v>
      </c>
      <c r="I302" s="79">
        <f>AVERAGE($F$291:F302)</f>
        <v>6979.3983333333335</v>
      </c>
      <c r="J302" s="84">
        <f t="shared" si="31"/>
        <v>362928.71333333332</v>
      </c>
      <c r="K302" s="91">
        <f t="shared" si="33"/>
        <v>311688.65999999986</v>
      </c>
      <c r="L302" s="85">
        <f t="shared" si="38"/>
        <v>1163.2330555555557</v>
      </c>
      <c r="M302" s="79">
        <f t="shared" si="34"/>
        <v>1209215.6492999999</v>
      </c>
    </row>
    <row r="303" spans="1:13" x14ac:dyDescent="0.2">
      <c r="A303" s="83">
        <v>41728</v>
      </c>
      <c r="B303" s="79">
        <v>0</v>
      </c>
      <c r="C303" s="79">
        <v>0</v>
      </c>
      <c r="D303" s="103">
        <v>6448.94</v>
      </c>
      <c r="E303" s="28">
        <f t="shared" si="30"/>
        <v>322.447</v>
      </c>
      <c r="F303" s="79">
        <f t="shared" si="39"/>
        <v>6448.94</v>
      </c>
      <c r="G303" s="79">
        <f t="shared" si="35"/>
        <v>6838.56</v>
      </c>
      <c r="H303" s="79">
        <f t="shared" si="37"/>
        <v>6938.5938461538462</v>
      </c>
      <c r="I303" s="79">
        <f>AVERAGE($F$291:F303)</f>
        <v>6938.5938461538462</v>
      </c>
      <c r="J303" s="84">
        <f t="shared" si="31"/>
        <v>360806.88</v>
      </c>
      <c r="K303" s="79">
        <f t="shared" si="33"/>
        <v>309492.85999999981</v>
      </c>
      <c r="L303" s="85">
        <f t="shared" si="38"/>
        <v>1156.4323076923076</v>
      </c>
      <c r="M303" s="79">
        <f t="shared" si="34"/>
        <v>1215664.5892999999</v>
      </c>
    </row>
    <row r="304" spans="1:13" x14ac:dyDescent="0.2">
      <c r="A304" s="83">
        <v>41735</v>
      </c>
      <c r="B304" s="79">
        <v>0</v>
      </c>
      <c r="C304" s="79">
        <v>0</v>
      </c>
      <c r="D304" s="103">
        <v>9121.74</v>
      </c>
      <c r="E304" s="28">
        <f t="shared" si="30"/>
        <v>456.08699999999999</v>
      </c>
      <c r="F304" s="79">
        <f t="shared" si="39"/>
        <v>9121.74</v>
      </c>
      <c r="G304" s="79">
        <f t="shared" si="35"/>
        <v>7123.83</v>
      </c>
      <c r="H304" s="79">
        <f t="shared" si="37"/>
        <v>7400.754615384616</v>
      </c>
      <c r="I304" s="79">
        <f>AVERAGE($F$291:F304)</f>
        <v>7094.5328571428572</v>
      </c>
      <c r="J304" s="84">
        <f t="shared" si="31"/>
        <v>368915.70857142855</v>
      </c>
      <c r="K304" s="79">
        <f t="shared" si="33"/>
        <v>310513.41999999987</v>
      </c>
      <c r="L304" s="85">
        <f t="shared" si="38"/>
        <v>1182.4221428571429</v>
      </c>
      <c r="M304" s="79">
        <f t="shared" si="34"/>
        <v>1224786.3292999999</v>
      </c>
    </row>
    <row r="305" spans="1:13" x14ac:dyDescent="0.2">
      <c r="A305" s="83">
        <v>41742</v>
      </c>
      <c r="B305" s="79">
        <v>0</v>
      </c>
      <c r="C305" s="79">
        <v>0</v>
      </c>
      <c r="D305" s="103">
        <v>10769.89</v>
      </c>
      <c r="E305" s="28">
        <f t="shared" si="30"/>
        <v>538.49450000000002</v>
      </c>
      <c r="F305" s="79">
        <f t="shared" si="39"/>
        <v>10769.89</v>
      </c>
      <c r="G305" s="79">
        <f t="shared" si="35"/>
        <v>8157.1224999999995</v>
      </c>
      <c r="H305" s="79">
        <f t="shared" si="37"/>
        <v>7661.7030769230778</v>
      </c>
      <c r="I305" s="79">
        <f>AVERAGE($F$291:F305)</f>
        <v>7339.5566666666673</v>
      </c>
      <c r="J305" s="84">
        <f t="shared" si="31"/>
        <v>381656.94666666671</v>
      </c>
      <c r="K305" s="91">
        <f t="shared" si="33"/>
        <v>316918.68999999989</v>
      </c>
      <c r="L305" s="85">
        <f t="shared" si="38"/>
        <v>1223.2594444444446</v>
      </c>
      <c r="M305" s="79">
        <f t="shared" si="34"/>
        <v>1235556.2192999998</v>
      </c>
    </row>
    <row r="306" spans="1:13" x14ac:dyDescent="0.2">
      <c r="A306" s="83">
        <v>41749</v>
      </c>
      <c r="B306" s="79">
        <v>0</v>
      </c>
      <c r="C306" s="79">
        <v>0</v>
      </c>
      <c r="D306" s="103">
        <v>7447.59</v>
      </c>
      <c r="E306" s="28">
        <f t="shared" si="30"/>
        <v>372.37950000000001</v>
      </c>
      <c r="F306" s="79">
        <f t="shared" si="39"/>
        <v>7447.59</v>
      </c>
      <c r="G306" s="79">
        <f t="shared" si="35"/>
        <v>8447.0400000000009</v>
      </c>
      <c r="H306" s="79">
        <f t="shared" si="37"/>
        <v>7802.1807692307693</v>
      </c>
      <c r="I306" s="79">
        <f>AVERAGE($F$291:F306)</f>
        <v>7346.3087500000001</v>
      </c>
      <c r="J306" s="84">
        <f t="shared" si="31"/>
        <v>382008.05499999999</v>
      </c>
      <c r="K306" s="79">
        <f t="shared" si="33"/>
        <v>316558.05</v>
      </c>
      <c r="L306" s="85">
        <f t="shared" si="38"/>
        <v>1224.3847916666666</v>
      </c>
      <c r="M306" s="79">
        <f t="shared" si="34"/>
        <v>1243003.8092999998</v>
      </c>
    </row>
    <row r="307" spans="1:13" x14ac:dyDescent="0.2">
      <c r="A307" s="83">
        <v>41756</v>
      </c>
      <c r="B307" s="79">
        <v>0</v>
      </c>
      <c r="C307" s="79">
        <v>0</v>
      </c>
      <c r="D307" s="103">
        <v>8953.76</v>
      </c>
      <c r="E307" s="28">
        <f t="shared" si="30"/>
        <v>447.68800000000005</v>
      </c>
      <c r="F307" s="79">
        <f t="shared" si="39"/>
        <v>8953.76</v>
      </c>
      <c r="G307" s="79">
        <f t="shared" si="35"/>
        <v>9073.244999999999</v>
      </c>
      <c r="H307" s="79">
        <f t="shared" si="37"/>
        <v>7995.9015384615386</v>
      </c>
      <c r="I307" s="79">
        <f>AVERAGE($F$291:F307)</f>
        <v>7440.8647058823526</v>
      </c>
      <c r="J307" s="84">
        <f t="shared" si="31"/>
        <v>386924.96470588236</v>
      </c>
      <c r="K307" s="79">
        <f t="shared" si="33"/>
        <v>320641.07999999996</v>
      </c>
      <c r="L307" s="85">
        <f t="shared" si="38"/>
        <v>1240.1441176470587</v>
      </c>
      <c r="M307" s="79">
        <f t="shared" si="34"/>
        <v>1251957.5692999999</v>
      </c>
    </row>
    <row r="308" spans="1:13" x14ac:dyDescent="0.2">
      <c r="A308" s="83">
        <v>41763</v>
      </c>
      <c r="B308" s="79">
        <v>0</v>
      </c>
      <c r="C308" s="79">
        <v>0</v>
      </c>
      <c r="D308" s="103">
        <v>7952.93</v>
      </c>
      <c r="E308" s="28">
        <f t="shared" si="30"/>
        <v>397.64650000000006</v>
      </c>
      <c r="F308" s="79">
        <f t="shared" si="39"/>
        <v>7952.93</v>
      </c>
      <c r="G308" s="79">
        <f t="shared" si="35"/>
        <v>8781.0424999999996</v>
      </c>
      <c r="H308" s="79">
        <f t="shared" si="37"/>
        <v>8248.3184615384598</v>
      </c>
      <c r="I308" s="79">
        <f>AVERAGE($F$291:F308)</f>
        <v>7469.3127777777781</v>
      </c>
      <c r="J308" s="84">
        <f t="shared" si="31"/>
        <v>388404.26444444444</v>
      </c>
      <c r="K308" s="91">
        <f t="shared" si="33"/>
        <v>323871.74</v>
      </c>
      <c r="L308" s="85">
        <f t="shared" si="38"/>
        <v>1244.8854629629629</v>
      </c>
      <c r="M308" s="79">
        <f t="shared" si="34"/>
        <v>1259910.4992999998</v>
      </c>
    </row>
    <row r="309" spans="1:13" x14ac:dyDescent="0.2">
      <c r="A309" s="83">
        <v>41770</v>
      </c>
      <c r="B309" s="79">
        <v>0</v>
      </c>
      <c r="C309" s="79">
        <v>0</v>
      </c>
      <c r="D309" s="103">
        <v>6268.59</v>
      </c>
      <c r="E309" s="28">
        <f t="shared" si="30"/>
        <v>313.42950000000002</v>
      </c>
      <c r="F309" s="79">
        <f t="shared" si="39"/>
        <v>6268.59</v>
      </c>
      <c r="G309" s="79">
        <f t="shared" si="35"/>
        <v>7655.7174999999997</v>
      </c>
      <c r="H309" s="79">
        <f t="shared" si="37"/>
        <v>8382.744615384614</v>
      </c>
      <c r="I309" s="79">
        <f>AVERAGE($F$291:F309)</f>
        <v>7406.1168421052635</v>
      </c>
      <c r="J309" s="84">
        <f t="shared" si="31"/>
        <v>385118.07578947372</v>
      </c>
      <c r="K309" s="79">
        <f t="shared" si="33"/>
        <v>321108.32000000007</v>
      </c>
      <c r="L309" s="85">
        <f t="shared" si="38"/>
        <v>1234.3528070175439</v>
      </c>
      <c r="M309" s="79">
        <f t="shared" si="34"/>
        <v>1266179.0892999999</v>
      </c>
    </row>
    <row r="310" spans="1:13" x14ac:dyDescent="0.2">
      <c r="A310" s="83">
        <v>41777</v>
      </c>
      <c r="B310" s="79">
        <v>0</v>
      </c>
      <c r="C310" s="79">
        <v>0</v>
      </c>
      <c r="D310" s="103">
        <v>7912.8</v>
      </c>
      <c r="E310" s="28">
        <f t="shared" si="30"/>
        <v>395.64000000000004</v>
      </c>
      <c r="F310" s="79">
        <f t="shared" si="39"/>
        <v>7912.8</v>
      </c>
      <c r="G310" s="79">
        <f t="shared" si="35"/>
        <v>7772.02</v>
      </c>
      <c r="H310" s="79">
        <f t="shared" si="37"/>
        <v>8375.6246153846132</v>
      </c>
      <c r="I310" s="79">
        <f>AVERAGE($F$291:F310)</f>
        <v>7431.4509999999991</v>
      </c>
      <c r="J310" s="84">
        <f t="shared" si="31"/>
        <v>386435.45199999993</v>
      </c>
      <c r="K310" s="79">
        <f t="shared" si="33"/>
        <v>321658.22000000003</v>
      </c>
      <c r="L310" s="85">
        <f t="shared" si="38"/>
        <v>1238.5751666666665</v>
      </c>
      <c r="M310" s="79">
        <f t="shared" si="34"/>
        <v>1274091.8892999999</v>
      </c>
    </row>
    <row r="311" spans="1:13" x14ac:dyDescent="0.2">
      <c r="A311" s="83">
        <v>41784</v>
      </c>
      <c r="B311" s="79">
        <v>0</v>
      </c>
      <c r="C311" s="79">
        <v>0</v>
      </c>
      <c r="D311" s="103">
        <v>5980.6</v>
      </c>
      <c r="E311" s="28">
        <f t="shared" si="30"/>
        <v>299.03000000000003</v>
      </c>
      <c r="F311" s="79">
        <f t="shared" si="39"/>
        <v>5980.6</v>
      </c>
      <c r="G311" s="79">
        <f t="shared" si="35"/>
        <v>7028.73</v>
      </c>
      <c r="H311" s="79">
        <f t="shared" si="37"/>
        <v>7971.3161538461536</v>
      </c>
      <c r="I311" s="79">
        <f>AVERAGE($F$291:F311)</f>
        <v>7362.3628571428571</v>
      </c>
      <c r="J311" s="84">
        <f t="shared" si="31"/>
        <v>382842.86857142858</v>
      </c>
      <c r="K311" s="91">
        <f t="shared" ref="K311:K344" si="40">SUM(F260:F311)</f>
        <v>322309.97000000003</v>
      </c>
      <c r="L311" s="85">
        <f t="shared" si="38"/>
        <v>1227.0604761904763</v>
      </c>
      <c r="M311" s="79">
        <f t="shared" si="34"/>
        <v>1280072.4893</v>
      </c>
    </row>
    <row r="312" spans="1:13" x14ac:dyDescent="0.2">
      <c r="A312" s="83">
        <v>41791</v>
      </c>
      <c r="B312" s="79">
        <v>0</v>
      </c>
      <c r="C312" s="79">
        <v>0</v>
      </c>
      <c r="D312" s="103">
        <v>6076.78</v>
      </c>
      <c r="E312" s="28">
        <f t="shared" si="30"/>
        <v>303.839</v>
      </c>
      <c r="F312" s="79">
        <f t="shared" si="39"/>
        <v>6076.78</v>
      </c>
      <c r="G312" s="79">
        <f t="shared" si="35"/>
        <v>6559.6924999999992</v>
      </c>
      <c r="H312" s="79">
        <f t="shared" si="37"/>
        <v>7526.0707692307706</v>
      </c>
      <c r="I312" s="79">
        <f>AVERAGE($F$291:F312)</f>
        <v>7303.9272727272728</v>
      </c>
      <c r="J312" s="84">
        <f t="shared" si="31"/>
        <v>379804.2181818182</v>
      </c>
      <c r="K312" s="79">
        <f t="shared" si="40"/>
        <v>320375.28000000003</v>
      </c>
      <c r="L312" s="85">
        <f t="shared" si="38"/>
        <v>1217.3212121212121</v>
      </c>
      <c r="M312" s="79">
        <f t="shared" si="34"/>
        <v>1286149.2693</v>
      </c>
    </row>
    <row r="313" spans="1:13" x14ac:dyDescent="0.2">
      <c r="A313" s="83">
        <v>41798</v>
      </c>
      <c r="B313" s="79">
        <v>0</v>
      </c>
      <c r="C313" s="79">
        <v>0</v>
      </c>
      <c r="D313" s="103">
        <v>6432.66</v>
      </c>
      <c r="E313" s="28">
        <f t="shared" si="30"/>
        <v>321.63300000000004</v>
      </c>
      <c r="F313" s="79">
        <f t="shared" si="39"/>
        <v>6432.66</v>
      </c>
      <c r="G313" s="79">
        <f t="shared" si="35"/>
        <v>6600.71</v>
      </c>
      <c r="H313" s="79">
        <f t="shared" si="37"/>
        <v>7406.9938461538468</v>
      </c>
      <c r="I313" s="79">
        <f>AVERAGE($F$291:F313)</f>
        <v>7266.0460869565213</v>
      </c>
      <c r="J313" s="84">
        <f t="shared" si="31"/>
        <v>377834.39652173908</v>
      </c>
      <c r="K313" s="79">
        <f t="shared" si="40"/>
        <v>322450.92000000004</v>
      </c>
      <c r="L313" s="85">
        <f t="shared" si="38"/>
        <v>1211.0076811594201</v>
      </c>
      <c r="M313" s="79">
        <f t="shared" si="34"/>
        <v>1292581.9293</v>
      </c>
    </row>
    <row r="314" spans="1:13" x14ac:dyDescent="0.2">
      <c r="A314" s="83">
        <v>41805</v>
      </c>
      <c r="B314" s="79">
        <v>0</v>
      </c>
      <c r="C314" s="79">
        <v>0</v>
      </c>
      <c r="D314" s="103">
        <v>7848.78</v>
      </c>
      <c r="E314" s="28">
        <f t="shared" si="30"/>
        <v>392.43900000000002</v>
      </c>
      <c r="F314" s="79">
        <f t="shared" si="39"/>
        <v>7848.78</v>
      </c>
      <c r="G314" s="79">
        <f t="shared" si="35"/>
        <v>6584.7049999999999</v>
      </c>
      <c r="H314" s="79">
        <f t="shared" si="37"/>
        <v>7500.2292307692314</v>
      </c>
      <c r="I314" s="79">
        <f>AVERAGE($F$291:F314)</f>
        <v>7290.3266666666668</v>
      </c>
      <c r="J314" s="84">
        <f t="shared" si="31"/>
        <v>379096.98666666669</v>
      </c>
      <c r="K314" s="91">
        <f t="shared" si="40"/>
        <v>324003.34000000008</v>
      </c>
      <c r="L314" s="85">
        <f t="shared" si="38"/>
        <v>1215.0544444444445</v>
      </c>
      <c r="M314" s="79">
        <f t="shared" si="34"/>
        <v>1300430.7093</v>
      </c>
    </row>
    <row r="315" spans="1:13" x14ac:dyDescent="0.2">
      <c r="A315" s="83">
        <v>41812</v>
      </c>
      <c r="B315" s="79">
        <v>0</v>
      </c>
      <c r="C315" s="79">
        <v>0</v>
      </c>
      <c r="D315" s="103">
        <v>4095.79</v>
      </c>
      <c r="E315" s="28">
        <f t="shared" si="30"/>
        <v>204.7895</v>
      </c>
      <c r="F315" s="79">
        <f t="shared" si="39"/>
        <v>4095.79</v>
      </c>
      <c r="G315" s="79">
        <f t="shared" si="35"/>
        <v>6113.5024999999996</v>
      </c>
      <c r="H315" s="79">
        <f t="shared" si="37"/>
        <v>7331.6038461538465</v>
      </c>
      <c r="I315" s="79">
        <f>AVERAGE($F$291:F315)</f>
        <v>7162.5452000000005</v>
      </c>
      <c r="J315" s="84">
        <f t="shared" si="31"/>
        <v>372452.3504</v>
      </c>
      <c r="K315" s="79">
        <f t="shared" si="40"/>
        <v>321577.51</v>
      </c>
      <c r="L315" s="85">
        <f t="shared" si="38"/>
        <v>1193.7575333333334</v>
      </c>
      <c r="M315" s="79">
        <f t="shared" si="34"/>
        <v>1304526.4993</v>
      </c>
    </row>
    <row r="316" spans="1:13" x14ac:dyDescent="0.2">
      <c r="A316" s="83">
        <v>41819</v>
      </c>
      <c r="B316" s="79">
        <v>0</v>
      </c>
      <c r="C316" s="79">
        <v>0</v>
      </c>
      <c r="D316" s="103">
        <v>6946.69</v>
      </c>
      <c r="E316" s="28">
        <f t="shared" si="30"/>
        <v>347.33449999999999</v>
      </c>
      <c r="F316" s="79">
        <f t="shared" si="39"/>
        <v>6946.69</v>
      </c>
      <c r="G316" s="79">
        <f t="shared" si="35"/>
        <v>6330.98</v>
      </c>
      <c r="H316" s="79">
        <f t="shared" si="37"/>
        <v>7369.8923076923083</v>
      </c>
      <c r="I316" s="79">
        <f>AVERAGE($F$291:F316)</f>
        <v>7154.2430769230768</v>
      </c>
      <c r="J316" s="84">
        <f t="shared" si="31"/>
        <v>372020.64</v>
      </c>
      <c r="K316" s="79">
        <f t="shared" si="40"/>
        <v>321764.98000000004</v>
      </c>
      <c r="L316" s="85">
        <f t="shared" si="38"/>
        <v>1192.3738461538462</v>
      </c>
      <c r="M316" s="79">
        <f t="shared" si="34"/>
        <v>1311473.1893</v>
      </c>
    </row>
    <row r="317" spans="1:13" x14ac:dyDescent="0.2">
      <c r="A317" s="83">
        <v>41826</v>
      </c>
      <c r="B317" s="79">
        <v>0</v>
      </c>
      <c r="C317" s="79">
        <v>0</v>
      </c>
      <c r="D317" s="103">
        <v>4690.82</v>
      </c>
      <c r="E317" s="28">
        <f t="shared" si="30"/>
        <v>234.541</v>
      </c>
      <c r="F317" s="79">
        <f t="shared" si="39"/>
        <v>4690.82</v>
      </c>
      <c r="G317" s="79">
        <f t="shared" si="35"/>
        <v>5895.5199999999995</v>
      </c>
      <c r="H317" s="79">
        <f t="shared" si="37"/>
        <v>7029.0523076923073</v>
      </c>
      <c r="I317" s="79">
        <f>AVERAGE($F$291:F317)</f>
        <v>7063.0051851851858</v>
      </c>
      <c r="J317" s="84">
        <f t="shared" si="31"/>
        <v>367276.26962962968</v>
      </c>
      <c r="K317" s="91">
        <f t="shared" si="40"/>
        <v>321123.20000000007</v>
      </c>
      <c r="L317" s="85">
        <f t="shared" si="38"/>
        <v>1177.1675308641977</v>
      </c>
      <c r="M317" s="79">
        <f t="shared" si="34"/>
        <v>1316164.0093</v>
      </c>
    </row>
    <row r="318" spans="1:13" x14ac:dyDescent="0.2">
      <c r="A318" s="83">
        <v>41833</v>
      </c>
      <c r="B318" s="79">
        <v>0</v>
      </c>
      <c r="C318" s="79">
        <v>0</v>
      </c>
      <c r="D318" s="103">
        <v>7901.99</v>
      </c>
      <c r="E318" s="28">
        <f t="shared" si="30"/>
        <v>395.09950000000003</v>
      </c>
      <c r="F318" s="79">
        <f t="shared" si="39"/>
        <v>7901.99</v>
      </c>
      <c r="G318" s="79">
        <f t="shared" si="35"/>
        <v>5908.8225000000002</v>
      </c>
      <c r="H318" s="79">
        <f t="shared" si="37"/>
        <v>6808.4446153846138</v>
      </c>
      <c r="I318" s="79">
        <f>AVERAGE($F$291:F318)</f>
        <v>7092.9689285714285</v>
      </c>
      <c r="J318" s="84">
        <f t="shared" si="31"/>
        <v>368834.3842857143</v>
      </c>
      <c r="K318" s="79">
        <f t="shared" si="40"/>
        <v>324574.42</v>
      </c>
      <c r="L318" s="85">
        <f t="shared" si="38"/>
        <v>1182.1614880952382</v>
      </c>
      <c r="M318" s="79">
        <f t="shared" si="34"/>
        <v>1324065.9993</v>
      </c>
    </row>
    <row r="319" spans="1:13" x14ac:dyDescent="0.2">
      <c r="A319" s="83">
        <v>41840</v>
      </c>
      <c r="B319" s="79">
        <v>0</v>
      </c>
      <c r="C319" s="79">
        <v>0</v>
      </c>
      <c r="D319" s="103">
        <v>7468.4666666666699</v>
      </c>
      <c r="E319" s="28">
        <f t="shared" si="30"/>
        <v>373.42333333333352</v>
      </c>
      <c r="F319" s="79">
        <f t="shared" si="39"/>
        <v>7468.4666666666699</v>
      </c>
      <c r="G319" s="79">
        <f t="shared" si="35"/>
        <v>6751.9916666666677</v>
      </c>
      <c r="H319" s="79">
        <f t="shared" si="37"/>
        <v>6810.0505128205123</v>
      </c>
      <c r="I319" s="79">
        <f>AVERAGE($F$291:F319)</f>
        <v>7105.9171264367824</v>
      </c>
      <c r="J319" s="84">
        <f t="shared" si="31"/>
        <v>369507.6905747127</v>
      </c>
      <c r="K319" s="79">
        <f t="shared" si="40"/>
        <v>328262.54666666669</v>
      </c>
      <c r="L319" s="85">
        <f t="shared" si="38"/>
        <v>1184.319521072797</v>
      </c>
      <c r="M319" s="79">
        <f t="shared" si="34"/>
        <v>1331534.4659666666</v>
      </c>
    </row>
    <row r="320" spans="1:13" x14ac:dyDescent="0.2">
      <c r="A320" s="83">
        <v>41847</v>
      </c>
      <c r="B320" s="79">
        <v>0</v>
      </c>
      <c r="C320" s="79">
        <v>0</v>
      </c>
      <c r="D320" s="103">
        <v>4625.6499999999996</v>
      </c>
      <c r="E320" s="28">
        <f t="shared" si="30"/>
        <v>231.2825</v>
      </c>
      <c r="F320" s="79">
        <f t="shared" si="39"/>
        <v>4625.6499999999996</v>
      </c>
      <c r="G320" s="79">
        <f t="shared" si="35"/>
        <v>6171.7316666666666</v>
      </c>
      <c r="H320" s="79">
        <f t="shared" si="37"/>
        <v>6477.1189743589748</v>
      </c>
      <c r="I320" s="79">
        <f>AVERAGE($F$291:F320)</f>
        <v>7023.2415555555554</v>
      </c>
      <c r="J320" s="84">
        <f t="shared" si="31"/>
        <v>365208.5608888889</v>
      </c>
      <c r="K320" s="91">
        <f t="shared" si="40"/>
        <v>328580.46666666667</v>
      </c>
      <c r="L320" s="85">
        <f t="shared" si="38"/>
        <v>1170.5402592592593</v>
      </c>
      <c r="M320" s="79">
        <f t="shared" ref="M320:M383" si="41">+M319+F320</f>
        <v>1336160.1159666665</v>
      </c>
    </row>
    <row r="321" spans="1:13" x14ac:dyDescent="0.2">
      <c r="A321" s="83">
        <v>41854</v>
      </c>
      <c r="B321" s="79">
        <v>0</v>
      </c>
      <c r="C321" s="79">
        <v>0</v>
      </c>
      <c r="D321" s="103">
        <v>4999.2</v>
      </c>
      <c r="E321" s="28">
        <f t="shared" si="30"/>
        <v>249.96</v>
      </c>
      <c r="F321" s="79">
        <f t="shared" si="39"/>
        <v>4999.2</v>
      </c>
      <c r="G321" s="79">
        <f t="shared" si="35"/>
        <v>6248.8266666666668</v>
      </c>
      <c r="H321" s="79">
        <f t="shared" si="37"/>
        <v>6249.9089743589739</v>
      </c>
      <c r="I321" s="79">
        <f>AVERAGE($F$291:F321)</f>
        <v>6957.9498924731188</v>
      </c>
      <c r="J321" s="84">
        <f t="shared" si="31"/>
        <v>361813.39440860215</v>
      </c>
      <c r="K321" s="79">
        <f t="shared" si="40"/>
        <v>326270.03666666668</v>
      </c>
      <c r="L321" s="85">
        <f t="shared" si="38"/>
        <v>1159.6583154121865</v>
      </c>
      <c r="M321" s="79">
        <f t="shared" si="41"/>
        <v>1341159.3159666664</v>
      </c>
    </row>
    <row r="322" spans="1:13" x14ac:dyDescent="0.2">
      <c r="A322" s="83">
        <v>41861</v>
      </c>
      <c r="B322" s="79">
        <v>0</v>
      </c>
      <c r="C322" s="79">
        <v>0</v>
      </c>
      <c r="D322" s="103">
        <v>8660.57</v>
      </c>
      <c r="E322" s="28">
        <f t="shared" si="30"/>
        <v>433.02850000000001</v>
      </c>
      <c r="F322" s="79">
        <f t="shared" si="39"/>
        <v>8660.57</v>
      </c>
      <c r="G322" s="79">
        <f t="shared" si="35"/>
        <v>6438.4716666666673</v>
      </c>
      <c r="H322" s="79">
        <f t="shared" si="37"/>
        <v>6433.9074358974358</v>
      </c>
      <c r="I322" s="79">
        <f>AVERAGE($F$291:F322)</f>
        <v>7011.1567708333341</v>
      </c>
      <c r="J322" s="84">
        <f t="shared" si="31"/>
        <v>364580.15208333335</v>
      </c>
      <c r="K322" s="79">
        <f t="shared" si="40"/>
        <v>329469.44666666666</v>
      </c>
      <c r="L322" s="85">
        <f t="shared" si="38"/>
        <v>1168.5261284722224</v>
      </c>
      <c r="M322" s="79">
        <f t="shared" si="41"/>
        <v>1349819.8859666665</v>
      </c>
    </row>
    <row r="323" spans="1:13" x14ac:dyDescent="0.2">
      <c r="A323" s="83">
        <v>41868</v>
      </c>
      <c r="B323" s="79">
        <v>0</v>
      </c>
      <c r="C323" s="79">
        <v>0</v>
      </c>
      <c r="D323" s="103">
        <v>5349.08</v>
      </c>
      <c r="E323" s="28">
        <f t="shared" si="30"/>
        <v>267.45400000000001</v>
      </c>
      <c r="F323" s="79">
        <f t="shared" si="39"/>
        <v>5349.08</v>
      </c>
      <c r="G323" s="79">
        <f t="shared" si="35"/>
        <v>5908.625</v>
      </c>
      <c r="H323" s="79">
        <f t="shared" si="37"/>
        <v>6236.6982051282057</v>
      </c>
      <c r="I323" s="79">
        <f>AVERAGE($F$291:F323)</f>
        <v>6960.7908080808083</v>
      </c>
      <c r="J323" s="84">
        <f t="shared" si="31"/>
        <v>361961.12202020205</v>
      </c>
      <c r="K323" s="91">
        <f t="shared" si="40"/>
        <v>329377.1766666667</v>
      </c>
      <c r="L323" s="85">
        <f t="shared" si="38"/>
        <v>1160.1318013468015</v>
      </c>
      <c r="M323" s="79">
        <f t="shared" si="41"/>
        <v>1355168.9659666666</v>
      </c>
    </row>
    <row r="324" spans="1:13" x14ac:dyDescent="0.2">
      <c r="A324" s="83">
        <v>41875</v>
      </c>
      <c r="B324" s="79">
        <v>0</v>
      </c>
      <c r="C324" s="79">
        <v>0</v>
      </c>
      <c r="D324" s="103">
        <v>6456.51</v>
      </c>
      <c r="E324" s="28">
        <f t="shared" si="30"/>
        <v>322.82550000000003</v>
      </c>
      <c r="F324" s="79">
        <f t="shared" si="39"/>
        <v>6456.51</v>
      </c>
      <c r="G324" s="79">
        <f t="shared" si="35"/>
        <v>6366.34</v>
      </c>
      <c r="H324" s="79">
        <f t="shared" si="37"/>
        <v>6273.3066666666664</v>
      </c>
      <c r="I324" s="79">
        <f>AVERAGE($F$291:F324)</f>
        <v>6945.9590196078434</v>
      </c>
      <c r="J324" s="84">
        <f t="shared" si="31"/>
        <v>361189.86901960784</v>
      </c>
      <c r="K324" s="79">
        <f t="shared" si="40"/>
        <v>329170.15666666673</v>
      </c>
      <c r="L324" s="85">
        <f t="shared" si="38"/>
        <v>1157.6598366013072</v>
      </c>
      <c r="M324" s="79">
        <f t="shared" si="41"/>
        <v>1361625.4759666666</v>
      </c>
    </row>
    <row r="325" spans="1:13" x14ac:dyDescent="0.2">
      <c r="A325" s="83">
        <v>41882</v>
      </c>
      <c r="B325" s="79">
        <v>0</v>
      </c>
      <c r="C325" s="79">
        <v>0</v>
      </c>
      <c r="D325" s="103">
        <v>6075.73</v>
      </c>
      <c r="E325" s="28">
        <f t="shared" si="30"/>
        <v>303.78649999999999</v>
      </c>
      <c r="F325" s="79">
        <f t="shared" si="39"/>
        <v>6075.73</v>
      </c>
      <c r="G325" s="79">
        <f t="shared" si="35"/>
        <v>6635.4724999999999</v>
      </c>
      <c r="H325" s="79">
        <f t="shared" si="37"/>
        <v>6273.2258974358956</v>
      </c>
      <c r="I325" s="79">
        <f>AVERAGE($F$291:F325)</f>
        <v>6921.0953333333346</v>
      </c>
      <c r="J325" s="84">
        <f t="shared" si="31"/>
        <v>359896.95733333338</v>
      </c>
      <c r="K325" s="79">
        <f t="shared" si="40"/>
        <v>330429.94666666671</v>
      </c>
      <c r="L325" s="85">
        <f t="shared" si="38"/>
        <v>1153.5158888888891</v>
      </c>
      <c r="M325" s="79">
        <f t="shared" si="41"/>
        <v>1367701.2059666666</v>
      </c>
    </row>
    <row r="326" spans="1:13" x14ac:dyDescent="0.2">
      <c r="A326" s="83">
        <v>41889</v>
      </c>
      <c r="B326" s="79">
        <v>0</v>
      </c>
      <c r="C326" s="79">
        <v>0</v>
      </c>
      <c r="D326" s="103">
        <v>5547.07</v>
      </c>
      <c r="E326" s="28">
        <f t="shared" si="30"/>
        <v>277.3535</v>
      </c>
      <c r="F326" s="79">
        <f t="shared" si="39"/>
        <v>5547.07</v>
      </c>
      <c r="G326" s="79">
        <f t="shared" si="35"/>
        <v>5857.0974999999999</v>
      </c>
      <c r="H326" s="79">
        <f t="shared" si="37"/>
        <v>6205.1035897435886</v>
      </c>
      <c r="I326" s="79">
        <f>AVERAGE($F$291:F326)</f>
        <v>6882.9279629629636</v>
      </c>
      <c r="J326" s="84">
        <f t="shared" si="31"/>
        <v>357912.2540740741</v>
      </c>
      <c r="K326" s="91">
        <f t="shared" si="40"/>
        <v>330845.71666666673</v>
      </c>
      <c r="L326" s="85">
        <f t="shared" si="38"/>
        <v>1147.1546604938274</v>
      </c>
      <c r="M326" s="79">
        <f t="shared" si="41"/>
        <v>1373248.2759666666</v>
      </c>
    </row>
    <row r="327" spans="1:13" x14ac:dyDescent="0.2">
      <c r="A327" s="83">
        <v>41896</v>
      </c>
      <c r="B327" s="79">
        <v>0</v>
      </c>
      <c r="C327" s="79">
        <v>0</v>
      </c>
      <c r="D327" s="103">
        <v>5639.49</v>
      </c>
      <c r="E327" s="28">
        <f t="shared" si="30"/>
        <v>281.97449999999998</v>
      </c>
      <c r="F327" s="79">
        <f t="shared" si="39"/>
        <v>5639.49</v>
      </c>
      <c r="G327" s="79">
        <f t="shared" ref="G327:G344" si="42">AVERAGE(F324:F327)</f>
        <v>5929.6999999999989</v>
      </c>
      <c r="H327" s="79">
        <f t="shared" si="37"/>
        <v>6035.1582051282066</v>
      </c>
      <c r="I327" s="79">
        <f>AVERAGE($F$291:F327)</f>
        <v>6849.3215315315319</v>
      </c>
      <c r="J327" s="84">
        <f t="shared" si="31"/>
        <v>356164.71963963966</v>
      </c>
      <c r="K327" s="79">
        <f t="shared" si="40"/>
        <v>331814.4966666667</v>
      </c>
      <c r="L327" s="85">
        <f t="shared" si="38"/>
        <v>1141.5535885885886</v>
      </c>
      <c r="M327" s="79">
        <f t="shared" si="41"/>
        <v>1378887.7659666666</v>
      </c>
    </row>
    <row r="328" spans="1:13" x14ac:dyDescent="0.2">
      <c r="A328" s="83">
        <v>41903</v>
      </c>
      <c r="B328" s="79">
        <v>0</v>
      </c>
      <c r="C328" s="79">
        <v>0</v>
      </c>
      <c r="D328" s="103">
        <v>5244.58</v>
      </c>
      <c r="E328" s="28">
        <f t="shared" si="30"/>
        <v>262.22899999999998</v>
      </c>
      <c r="F328" s="79">
        <f t="shared" si="39"/>
        <v>5244.58</v>
      </c>
      <c r="G328" s="79">
        <f t="shared" si="42"/>
        <v>5626.7175000000007</v>
      </c>
      <c r="H328" s="79">
        <f t="shared" si="37"/>
        <v>6123.5266666666676</v>
      </c>
      <c r="I328" s="79">
        <f>AVERAGE($F$291:F328)</f>
        <v>6807.0914912280705</v>
      </c>
      <c r="J328" s="84">
        <f t="shared" si="31"/>
        <v>353968.75754385965</v>
      </c>
      <c r="K328" s="79">
        <f t="shared" si="40"/>
        <v>333191.7466666667</v>
      </c>
      <c r="L328" s="85">
        <f t="shared" si="38"/>
        <v>1134.5152485380117</v>
      </c>
      <c r="M328" s="79">
        <f t="shared" si="41"/>
        <v>1384132.3459666667</v>
      </c>
    </row>
    <row r="329" spans="1:13" x14ac:dyDescent="0.2">
      <c r="A329" s="83">
        <v>41910</v>
      </c>
      <c r="B329" s="79">
        <v>0</v>
      </c>
      <c r="C329" s="79">
        <v>0</v>
      </c>
      <c r="D329" s="103">
        <v>8961.34</v>
      </c>
      <c r="E329" s="28">
        <f>+D329*0.05</f>
        <v>448.06700000000001</v>
      </c>
      <c r="F329" s="79">
        <f t="shared" si="39"/>
        <v>8961.34</v>
      </c>
      <c r="G329" s="79">
        <f t="shared" si="42"/>
        <v>6348.12</v>
      </c>
      <c r="H329" s="79">
        <f t="shared" si="37"/>
        <v>6278.499743589744</v>
      </c>
      <c r="I329" s="79">
        <f>AVERAGE($F$291:F329)</f>
        <v>6862.3286324786332</v>
      </c>
      <c r="J329" s="84">
        <f>+I329*52</f>
        <v>356841.08888888895</v>
      </c>
      <c r="K329" s="91">
        <f t="shared" si="40"/>
        <v>335936.48666666681</v>
      </c>
      <c r="L329" s="85">
        <f t="shared" si="38"/>
        <v>1143.7214387464389</v>
      </c>
      <c r="M329" s="79">
        <f t="shared" si="41"/>
        <v>1393093.6859666668</v>
      </c>
    </row>
    <row r="330" spans="1:13" x14ac:dyDescent="0.2">
      <c r="A330" s="83">
        <v>41917</v>
      </c>
      <c r="B330" s="79">
        <v>0</v>
      </c>
      <c r="C330" s="79">
        <v>0</v>
      </c>
      <c r="D330" s="103">
        <v>18015.52</v>
      </c>
      <c r="E330" s="28">
        <f t="shared" si="30"/>
        <v>900.77600000000007</v>
      </c>
      <c r="F330" s="79">
        <f t="shared" si="39"/>
        <v>18015.52</v>
      </c>
      <c r="G330" s="79">
        <f t="shared" si="42"/>
        <v>9465.2325000000001</v>
      </c>
      <c r="H330" s="79">
        <f t="shared" si="37"/>
        <v>7303.4766666666674</v>
      </c>
      <c r="I330" s="79">
        <f>AVERAGE($F$291:F330)</f>
        <v>7141.158416666668</v>
      </c>
      <c r="J330" s="84">
        <f t="shared" si="31"/>
        <v>371340.23766666674</v>
      </c>
      <c r="K330" s="79">
        <f t="shared" si="40"/>
        <v>348080.25666666677</v>
      </c>
      <c r="L330" s="85">
        <f t="shared" si="38"/>
        <v>1190.1930694444447</v>
      </c>
      <c r="M330" s="79">
        <f t="shared" si="41"/>
        <v>1411109.2059666668</v>
      </c>
    </row>
    <row r="331" spans="1:13" x14ac:dyDescent="0.2">
      <c r="A331" s="83">
        <v>41924</v>
      </c>
      <c r="B331" s="79">
        <v>0</v>
      </c>
      <c r="C331" s="79">
        <v>0</v>
      </c>
      <c r="D331" s="103">
        <v>7648.59</v>
      </c>
      <c r="E331" s="28">
        <f t="shared" si="30"/>
        <v>382.42950000000002</v>
      </c>
      <c r="F331" s="79">
        <f t="shared" si="39"/>
        <v>7648.59</v>
      </c>
      <c r="G331" s="79">
        <f t="shared" si="42"/>
        <v>9967.5074999999997</v>
      </c>
      <c r="H331" s="79">
        <f t="shared" si="37"/>
        <v>7283.9843589743587</v>
      </c>
      <c r="I331" s="79">
        <f>AVERAGE($F$291:F331)</f>
        <v>7153.5347967479693</v>
      </c>
      <c r="J331" s="84">
        <f t="shared" si="31"/>
        <v>371983.80943089438</v>
      </c>
      <c r="K331" s="79">
        <f t="shared" si="40"/>
        <v>346532.21666666679</v>
      </c>
      <c r="L331" s="85">
        <f t="shared" si="38"/>
        <v>1192.255799457995</v>
      </c>
      <c r="M331" s="79">
        <f t="shared" si="41"/>
        <v>1418757.7959666669</v>
      </c>
    </row>
    <row r="332" spans="1:13" x14ac:dyDescent="0.2">
      <c r="A332" s="83">
        <v>41931</v>
      </c>
      <c r="B332" s="79">
        <v>0</v>
      </c>
      <c r="C332" s="79">
        <v>0</v>
      </c>
      <c r="D332" s="103">
        <v>7523.25</v>
      </c>
      <c r="E332" s="28">
        <f t="shared" ref="E332:E337" si="43">+D332*0.05</f>
        <v>376.16250000000002</v>
      </c>
      <c r="F332" s="79">
        <f t="shared" si="39"/>
        <v>7523.25</v>
      </c>
      <c r="G332" s="79">
        <f t="shared" si="42"/>
        <v>10537.174999999999</v>
      </c>
      <c r="H332" s="79">
        <f t="shared" si="37"/>
        <v>7288.1984615384617</v>
      </c>
      <c r="I332" s="79">
        <f>AVERAGE($F$291:F332)</f>
        <v>7162.3375396825413</v>
      </c>
      <c r="J332" s="84">
        <f t="shared" ref="J332:J337" si="44">+I332*52</f>
        <v>372441.55206349213</v>
      </c>
      <c r="K332" s="91">
        <f t="shared" si="40"/>
        <v>349495.71666666679</v>
      </c>
      <c r="L332" s="85">
        <f t="shared" si="38"/>
        <v>1193.7229232804236</v>
      </c>
      <c r="M332" s="79">
        <f t="shared" si="41"/>
        <v>1426281.0459666669</v>
      </c>
    </row>
    <row r="333" spans="1:13" x14ac:dyDescent="0.2">
      <c r="A333" s="83">
        <v>41938</v>
      </c>
      <c r="B333" s="79">
        <v>0</v>
      </c>
      <c r="C333" s="79">
        <v>0</v>
      </c>
      <c r="D333" s="103">
        <v>4610.78</v>
      </c>
      <c r="E333" s="28">
        <f t="shared" si="43"/>
        <v>230.53899999999999</v>
      </c>
      <c r="F333" s="79">
        <f t="shared" si="39"/>
        <v>4610.78</v>
      </c>
      <c r="G333" s="79">
        <f t="shared" si="42"/>
        <v>9449.5349999999999</v>
      </c>
      <c r="H333" s="79">
        <f t="shared" si="37"/>
        <v>7287.0546153846162</v>
      </c>
      <c r="I333" s="79">
        <f>AVERAGE($F$291:F333)</f>
        <v>7102.9989922480645</v>
      </c>
      <c r="J333" s="84">
        <f t="shared" si="44"/>
        <v>369355.94759689935</v>
      </c>
      <c r="K333" s="79">
        <f t="shared" si="40"/>
        <v>347374.7266666668</v>
      </c>
      <c r="L333" s="85">
        <f t="shared" si="38"/>
        <v>1183.8331653746775</v>
      </c>
      <c r="M333" s="79">
        <f t="shared" si="41"/>
        <v>1430891.8259666669</v>
      </c>
    </row>
    <row r="334" spans="1:13" x14ac:dyDescent="0.2">
      <c r="A334" s="83">
        <v>41945</v>
      </c>
      <c r="B334" s="79">
        <v>0</v>
      </c>
      <c r="C334" s="79">
        <v>0</v>
      </c>
      <c r="D334" s="103">
        <v>8006.36</v>
      </c>
      <c r="E334" s="28">
        <f t="shared" si="43"/>
        <v>400.31799999999998</v>
      </c>
      <c r="F334" s="79">
        <f t="shared" si="39"/>
        <v>8006.36</v>
      </c>
      <c r="G334" s="79">
        <f t="shared" si="42"/>
        <v>6947.2449999999999</v>
      </c>
      <c r="H334" s="79">
        <f t="shared" si="37"/>
        <v>7518.374615384615</v>
      </c>
      <c r="I334" s="79">
        <f>AVERAGE($F$291:F334)</f>
        <v>7123.5299242424262</v>
      </c>
      <c r="J334" s="84">
        <f t="shared" si="44"/>
        <v>370423.55606060615</v>
      </c>
      <c r="K334" s="79">
        <f t="shared" si="40"/>
        <v>348703.8466666668</v>
      </c>
      <c r="L334" s="85">
        <f t="shared" si="38"/>
        <v>1187.2549873737378</v>
      </c>
      <c r="M334" s="79">
        <f t="shared" si="41"/>
        <v>1438898.185966667</v>
      </c>
    </row>
    <row r="335" spans="1:13" x14ac:dyDescent="0.2">
      <c r="A335" s="83">
        <v>41952</v>
      </c>
      <c r="B335" s="79">
        <v>0</v>
      </c>
      <c r="C335" s="79">
        <v>0</v>
      </c>
      <c r="D335" s="103">
        <v>7968.73</v>
      </c>
      <c r="E335" s="28">
        <f t="shared" si="43"/>
        <v>398.43650000000002</v>
      </c>
      <c r="F335" s="79">
        <f t="shared" si="39"/>
        <v>7968.73</v>
      </c>
      <c r="G335" s="79">
        <f t="shared" si="42"/>
        <v>7027.28</v>
      </c>
      <c r="H335" s="79">
        <f t="shared" si="37"/>
        <v>7465.1561538461538</v>
      </c>
      <c r="I335" s="79">
        <f>AVERAGE($F$291:F335)</f>
        <v>7142.3121481481503</v>
      </c>
      <c r="J335" s="84">
        <f t="shared" si="44"/>
        <v>371400.23170370382</v>
      </c>
      <c r="K335" s="91">
        <f t="shared" si="40"/>
        <v>352631.70666666672</v>
      </c>
      <c r="L335" s="85">
        <f t="shared" si="38"/>
        <v>1190.3853580246916</v>
      </c>
      <c r="M335" s="79">
        <f t="shared" si="41"/>
        <v>1446866.915966667</v>
      </c>
    </row>
    <row r="336" spans="1:13" x14ac:dyDescent="0.2">
      <c r="A336" s="83">
        <v>41959</v>
      </c>
      <c r="B336" s="79">
        <v>0</v>
      </c>
      <c r="C336" s="79">
        <v>0</v>
      </c>
      <c r="D336" s="106">
        <v>4552.55</v>
      </c>
      <c r="E336" s="28">
        <f t="shared" si="43"/>
        <v>227.62750000000003</v>
      </c>
      <c r="F336" s="79">
        <f t="shared" si="39"/>
        <v>4552.55</v>
      </c>
      <c r="G336" s="79">
        <f t="shared" si="42"/>
        <v>6284.6049999999996</v>
      </c>
      <c r="H336" s="79">
        <f t="shared" ref="H336:H344" si="45">AVERAGE(F324:F336)</f>
        <v>7403.8846153846152</v>
      </c>
      <c r="I336" s="79">
        <f>AVERAGE($F$291:F336)</f>
        <v>7086.0129710144947</v>
      </c>
      <c r="J336" s="84">
        <f t="shared" si="44"/>
        <v>368472.67449275375</v>
      </c>
      <c r="K336" s="79">
        <f t="shared" si="40"/>
        <v>353879.77666666673</v>
      </c>
      <c r="L336" s="85">
        <f t="shared" si="38"/>
        <v>1181.0021618357491</v>
      </c>
      <c r="M336" s="79">
        <f t="shared" si="41"/>
        <v>1451419.465966667</v>
      </c>
    </row>
    <row r="337" spans="1:13" x14ac:dyDescent="0.2">
      <c r="A337" s="83">
        <v>41966</v>
      </c>
      <c r="B337" s="79">
        <v>0</v>
      </c>
      <c r="C337" s="79">
        <v>0</v>
      </c>
      <c r="D337" s="106">
        <v>3940.23</v>
      </c>
      <c r="E337" s="28">
        <f t="shared" si="43"/>
        <v>197.01150000000001</v>
      </c>
      <c r="F337" s="79">
        <f t="shared" si="39"/>
        <v>3940.23</v>
      </c>
      <c r="G337" s="79">
        <f t="shared" si="42"/>
        <v>6116.9674999999997</v>
      </c>
      <c r="H337" s="79">
        <f t="shared" si="45"/>
        <v>7210.3246153846158</v>
      </c>
      <c r="I337" s="79">
        <f>AVERAGE($F$291:F337)</f>
        <v>7019.0814184397177</v>
      </c>
      <c r="J337" s="84">
        <f t="shared" si="44"/>
        <v>364992.23375886533</v>
      </c>
      <c r="K337" s="79">
        <f t="shared" si="40"/>
        <v>352498.89666666673</v>
      </c>
      <c r="L337" s="85">
        <f t="shared" si="38"/>
        <v>1169.8469030732863</v>
      </c>
      <c r="M337" s="79">
        <f t="shared" si="41"/>
        <v>1455359.695966667</v>
      </c>
    </row>
    <row r="338" spans="1:13" x14ac:dyDescent="0.2">
      <c r="A338" s="83">
        <v>41973</v>
      </c>
      <c r="B338" s="79">
        <v>0</v>
      </c>
      <c r="C338" s="79">
        <v>0</v>
      </c>
      <c r="D338" s="106">
        <v>6256.52</v>
      </c>
      <c r="E338" s="28">
        <f>+D338*0.05</f>
        <v>312.82600000000002</v>
      </c>
      <c r="F338" s="79">
        <f t="shared" si="39"/>
        <v>6256.52</v>
      </c>
      <c r="G338" s="79">
        <f t="shared" si="42"/>
        <v>5679.5074999999997</v>
      </c>
      <c r="H338" s="79">
        <f t="shared" si="45"/>
        <v>7224.2315384615376</v>
      </c>
      <c r="I338" s="79">
        <f>AVERAGE($F$291:F338)</f>
        <v>7003.1947222222234</v>
      </c>
      <c r="J338" s="84">
        <f>+I338*52</f>
        <v>364166.12555555563</v>
      </c>
      <c r="K338" s="91">
        <f t="shared" si="40"/>
        <v>355208.17666666675</v>
      </c>
      <c r="L338" s="85">
        <f t="shared" si="38"/>
        <v>1167.1991203703706</v>
      </c>
      <c r="M338" s="79">
        <f t="shared" si="41"/>
        <v>1461616.215966667</v>
      </c>
    </row>
    <row r="339" spans="1:13" x14ac:dyDescent="0.2">
      <c r="A339" s="83">
        <v>41980</v>
      </c>
      <c r="B339" s="79">
        <v>0</v>
      </c>
      <c r="C339" s="79">
        <v>0</v>
      </c>
      <c r="D339" s="86">
        <v>7018.94</v>
      </c>
      <c r="E339" s="28">
        <f>+D339*0.05</f>
        <v>350.947</v>
      </c>
      <c r="F339" s="79">
        <f t="shared" si="39"/>
        <v>7018.94</v>
      </c>
      <c r="G339" s="79">
        <f t="shared" si="42"/>
        <v>5442.06</v>
      </c>
      <c r="H339" s="79">
        <f t="shared" si="45"/>
        <v>7337.4523076923078</v>
      </c>
      <c r="I339" s="79">
        <f>AVERAGE($F$291:F339)</f>
        <v>7003.5160544217706</v>
      </c>
      <c r="J339" s="84">
        <f>+I339*52</f>
        <v>364182.83482993208</v>
      </c>
      <c r="K339" s="79">
        <f t="shared" si="40"/>
        <v>356892.96666666679</v>
      </c>
      <c r="L339" s="85">
        <f t="shared" si="38"/>
        <v>1167.2526757369617</v>
      </c>
      <c r="M339" s="79">
        <f t="shared" si="41"/>
        <v>1468635.155966667</v>
      </c>
    </row>
    <row r="340" spans="1:13" x14ac:dyDescent="0.2">
      <c r="A340" s="83">
        <v>41987</v>
      </c>
      <c r="B340" s="79">
        <v>0</v>
      </c>
      <c r="C340" s="79">
        <v>0</v>
      </c>
      <c r="D340" s="86">
        <v>7078.72</v>
      </c>
      <c r="E340" s="28">
        <f t="shared" ref="E340" si="46">+D340*0.05</f>
        <v>353.93600000000004</v>
      </c>
      <c r="F340" s="79">
        <f t="shared" si="39"/>
        <v>7078.72</v>
      </c>
      <c r="G340" s="79">
        <f t="shared" si="42"/>
        <v>6073.6025</v>
      </c>
      <c r="H340" s="79">
        <f t="shared" si="45"/>
        <v>7448.1623076923079</v>
      </c>
      <c r="I340" s="79">
        <f>AVERAGE($F$291:F340)</f>
        <v>7005.0201333333343</v>
      </c>
      <c r="J340" s="84">
        <f t="shared" ref="J340" si="47">+I340*52</f>
        <v>364261.04693333339</v>
      </c>
      <c r="K340" s="79">
        <f t="shared" si="40"/>
        <v>359034.97666666674</v>
      </c>
      <c r="L340" s="85">
        <f t="shared" si="38"/>
        <v>1167.5033555555558</v>
      </c>
      <c r="M340" s="79">
        <f t="shared" si="41"/>
        <v>1475713.875966667</v>
      </c>
    </row>
    <row r="341" spans="1:13" x14ac:dyDescent="0.2">
      <c r="A341" s="83">
        <v>41994</v>
      </c>
      <c r="B341" s="79">
        <v>0</v>
      </c>
      <c r="C341" s="79">
        <v>0</v>
      </c>
      <c r="D341" s="106">
        <v>6664.3</v>
      </c>
      <c r="E341" s="28">
        <f>+D341*0.05</f>
        <v>333.21500000000003</v>
      </c>
      <c r="F341" s="79">
        <f t="shared" ref="F341:F344" si="48">SUM(B341:D341)</f>
        <v>6664.3</v>
      </c>
      <c r="G341" s="79">
        <f t="shared" si="42"/>
        <v>6754.62</v>
      </c>
      <c r="H341" s="79">
        <f t="shared" si="45"/>
        <v>7557.3715384615389</v>
      </c>
      <c r="I341" s="79">
        <f>AVERAGE($F$291:F341)</f>
        <v>6998.3393464052297</v>
      </c>
      <c r="J341" s="84">
        <f>+I341*52</f>
        <v>363913.64601307194</v>
      </c>
      <c r="K341" s="91">
        <f t="shared" si="40"/>
        <v>360136.06666666671</v>
      </c>
      <c r="L341" s="85">
        <f t="shared" si="38"/>
        <v>1166.3898910675382</v>
      </c>
      <c r="M341" s="79">
        <f t="shared" si="41"/>
        <v>1482378.175966667</v>
      </c>
    </row>
    <row r="342" spans="1:13" x14ac:dyDescent="0.2">
      <c r="A342" s="83">
        <v>42001</v>
      </c>
      <c r="B342" s="79">
        <v>0</v>
      </c>
      <c r="C342" s="79">
        <v>0</v>
      </c>
      <c r="D342" s="86">
        <v>3992.34</v>
      </c>
      <c r="E342" s="28">
        <f>+D342*0.05</f>
        <v>199.61700000000002</v>
      </c>
      <c r="F342" s="79">
        <f t="shared" si="48"/>
        <v>3992.34</v>
      </c>
      <c r="G342" s="79">
        <f t="shared" si="42"/>
        <v>6188.5749999999998</v>
      </c>
      <c r="H342" s="79">
        <f t="shared" si="45"/>
        <v>7175.1407692307694</v>
      </c>
      <c r="I342" s="79">
        <f>AVERAGE($F$291:F342)</f>
        <v>6940.5316666666677</v>
      </c>
      <c r="J342" s="84">
        <f>+I342*52</f>
        <v>360907.64666666673</v>
      </c>
      <c r="K342" s="79">
        <f t="shared" si="40"/>
        <v>360907.64666666673</v>
      </c>
      <c r="L342" s="85">
        <f t="shared" si="38"/>
        <v>1156.755277777778</v>
      </c>
      <c r="M342" s="79">
        <f t="shared" si="41"/>
        <v>1486370.5159666671</v>
      </c>
    </row>
    <row r="343" spans="1:13" x14ac:dyDescent="0.2">
      <c r="A343" s="83">
        <v>42008</v>
      </c>
      <c r="B343" s="79">
        <v>0</v>
      </c>
      <c r="C343" s="79">
        <v>0</v>
      </c>
      <c r="D343" s="86">
        <v>2941.48</v>
      </c>
      <c r="E343" s="28">
        <f t="shared" ref="E343" si="49">+D343*0.05</f>
        <v>147.07400000000001</v>
      </c>
      <c r="F343" s="79">
        <f t="shared" si="48"/>
        <v>2941.48</v>
      </c>
      <c r="G343" s="79">
        <f t="shared" si="42"/>
        <v>5169.21</v>
      </c>
      <c r="H343" s="79">
        <f t="shared" si="45"/>
        <v>6015.5992307692313</v>
      </c>
      <c r="I343" s="79">
        <f>AVERAGE($F$343:F343)</f>
        <v>2941.48</v>
      </c>
      <c r="J343" s="84">
        <f t="shared" ref="J343" si="50">+I343*52</f>
        <v>152956.96</v>
      </c>
      <c r="K343" s="112">
        <f t="shared" si="40"/>
        <v>360735.47666666668</v>
      </c>
      <c r="L343" s="113">
        <f t="shared" si="38"/>
        <v>490.24666666666667</v>
      </c>
      <c r="M343" s="79">
        <f t="shared" si="41"/>
        <v>1489311.9959666671</v>
      </c>
    </row>
    <row r="344" spans="1:13" x14ac:dyDescent="0.2">
      <c r="A344" s="83">
        <v>42015</v>
      </c>
      <c r="B344" s="79">
        <v>0</v>
      </c>
      <c r="C344" s="79">
        <v>0</v>
      </c>
      <c r="D344" s="106">
        <v>2855.7</v>
      </c>
      <c r="E344" s="28">
        <f>+D344*0.05</f>
        <v>142.785</v>
      </c>
      <c r="F344" s="79">
        <f t="shared" si="48"/>
        <v>2855.7</v>
      </c>
      <c r="G344" s="79">
        <f t="shared" si="42"/>
        <v>4113.4549999999999</v>
      </c>
      <c r="H344" s="79">
        <f t="shared" si="45"/>
        <v>5646.915384615384</v>
      </c>
      <c r="I344" s="79">
        <f>AVERAGE($F$343:F344)</f>
        <v>2898.59</v>
      </c>
      <c r="J344" s="84">
        <f>+I344*52</f>
        <v>150726.68</v>
      </c>
      <c r="K344" s="91">
        <f t="shared" si="40"/>
        <v>356213.6166666667</v>
      </c>
      <c r="L344" s="85">
        <f t="shared" si="38"/>
        <v>483.09833333333336</v>
      </c>
      <c r="M344" s="79">
        <f t="shared" si="41"/>
        <v>1492167.695966667</v>
      </c>
    </row>
    <row r="345" spans="1:13" x14ac:dyDescent="0.2">
      <c r="A345" s="83">
        <v>42022</v>
      </c>
      <c r="B345" s="79">
        <v>0</v>
      </c>
      <c r="C345" s="79">
        <v>0</v>
      </c>
      <c r="D345" s="86">
        <v>6174.13</v>
      </c>
      <c r="E345" s="28">
        <f>+D345*0.05</f>
        <v>308.70650000000001</v>
      </c>
      <c r="F345" s="79">
        <f t="shared" ref="F345:F347" si="51">SUM(B345:D345)</f>
        <v>6174.13</v>
      </c>
      <c r="G345" s="79">
        <f t="shared" ref="G345:G347" si="52">AVERAGE(F342:F345)</f>
        <v>3990.9125000000004</v>
      </c>
      <c r="H345" s="79">
        <f t="shared" ref="H345:H347" si="53">AVERAGE(F333:F345)</f>
        <v>5543.1369230769242</v>
      </c>
      <c r="I345" s="79">
        <f>AVERAGE($F$343:F345)</f>
        <v>3990.436666666667</v>
      </c>
      <c r="J345" s="84">
        <f>+I345*52</f>
        <v>207502.70666666669</v>
      </c>
      <c r="K345" s="79">
        <f t="shared" ref="K345:K347" si="54">SUM(F294:F345)</f>
        <v>356766.3666666667</v>
      </c>
      <c r="L345" s="85">
        <f t="shared" ref="L345:L347" si="55">+I345/6</f>
        <v>665.07277777777779</v>
      </c>
      <c r="M345" s="79">
        <f t="shared" si="41"/>
        <v>1498341.8259666669</v>
      </c>
    </row>
    <row r="346" spans="1:13" x14ac:dyDescent="0.2">
      <c r="A346" s="83">
        <v>42029</v>
      </c>
      <c r="B346" s="79">
        <v>0</v>
      </c>
      <c r="C346" s="79">
        <v>0</v>
      </c>
      <c r="D346" s="106">
        <v>7491.92</v>
      </c>
      <c r="E346" s="28">
        <f t="shared" ref="E346" si="56">+D346*0.05</f>
        <v>374.596</v>
      </c>
      <c r="F346" s="79">
        <f t="shared" si="51"/>
        <v>7491.92</v>
      </c>
      <c r="G346" s="79">
        <f t="shared" si="52"/>
        <v>4865.8075000000008</v>
      </c>
      <c r="H346" s="79">
        <f t="shared" si="53"/>
        <v>5764.7630769230764</v>
      </c>
      <c r="I346" s="79">
        <f>AVERAGE($F$343:F346)</f>
        <v>4865.8075000000008</v>
      </c>
      <c r="J346" s="84">
        <f t="shared" ref="J346" si="57">+I346*52</f>
        <v>253021.99000000005</v>
      </c>
      <c r="K346" s="79">
        <f t="shared" si="54"/>
        <v>357822.89666666667</v>
      </c>
      <c r="L346" s="85">
        <f t="shared" si="55"/>
        <v>810.96791666666684</v>
      </c>
      <c r="M346" s="79">
        <f t="shared" si="41"/>
        <v>1505833.7459666668</v>
      </c>
    </row>
    <row r="347" spans="1:13" x14ac:dyDescent="0.2">
      <c r="A347" s="83">
        <v>42036</v>
      </c>
      <c r="B347" s="79">
        <v>0</v>
      </c>
      <c r="C347" s="79">
        <v>0</v>
      </c>
      <c r="D347" s="86">
        <v>5835.69</v>
      </c>
      <c r="E347" s="28">
        <f>+D347*0.05</f>
        <v>291.78449999999998</v>
      </c>
      <c r="F347" s="79">
        <f t="shared" si="51"/>
        <v>5835.69</v>
      </c>
      <c r="G347" s="79">
        <f t="shared" si="52"/>
        <v>5589.36</v>
      </c>
      <c r="H347" s="79">
        <f t="shared" si="53"/>
        <v>5597.7884615384619</v>
      </c>
      <c r="I347" s="79">
        <f>AVERAGE($F$343:F347)</f>
        <v>5059.7840000000006</v>
      </c>
      <c r="J347" s="84">
        <f>+I347*52</f>
        <v>263108.76800000004</v>
      </c>
      <c r="K347" s="91">
        <f t="shared" si="54"/>
        <v>358987.07666666666</v>
      </c>
      <c r="L347" s="85">
        <f t="shared" si="55"/>
        <v>843.29733333333343</v>
      </c>
      <c r="M347" s="79">
        <f t="shared" si="41"/>
        <v>1511669.4359666668</v>
      </c>
    </row>
    <row r="348" spans="1:13" x14ac:dyDescent="0.2">
      <c r="A348" s="83">
        <v>42043</v>
      </c>
      <c r="B348" s="79">
        <v>0</v>
      </c>
      <c r="C348" s="79">
        <v>0</v>
      </c>
      <c r="D348" s="106">
        <v>8205.11</v>
      </c>
      <c r="E348" s="28">
        <f>+D348*0.05</f>
        <v>410.25550000000004</v>
      </c>
      <c r="F348" s="79">
        <f t="shared" ref="F348:F350" si="58">SUM(B348:D348)</f>
        <v>8205.11</v>
      </c>
      <c r="G348" s="79">
        <f t="shared" ref="G348:G350" si="59">AVERAGE(F345:F348)</f>
        <v>6926.7124999999996</v>
      </c>
      <c r="H348" s="79">
        <f t="shared" ref="H348:H350" si="60">AVERAGE(F336:F348)</f>
        <v>5615.9715384615392</v>
      </c>
      <c r="I348" s="79">
        <f>AVERAGE($F$343:F348)</f>
        <v>5584.0050000000001</v>
      </c>
      <c r="J348" s="84">
        <f>+I348*52</f>
        <v>290368.26</v>
      </c>
      <c r="K348" s="79">
        <f t="shared" ref="K348:K350" si="61">SUM(F297:F348)</f>
        <v>362671.1366666666</v>
      </c>
      <c r="L348" s="85">
        <f t="shared" ref="L348:L350" si="62">+I348/6</f>
        <v>930.66750000000002</v>
      </c>
      <c r="M348" s="79">
        <f t="shared" si="41"/>
        <v>1519874.5459666669</v>
      </c>
    </row>
    <row r="349" spans="1:13" x14ac:dyDescent="0.2">
      <c r="A349" s="83">
        <v>42050</v>
      </c>
      <c r="B349" s="79">
        <v>0</v>
      </c>
      <c r="C349" s="79">
        <v>0</v>
      </c>
      <c r="D349" s="106">
        <v>9847.16</v>
      </c>
      <c r="E349" s="28">
        <f t="shared" ref="E349" si="63">+D349*0.05</f>
        <v>492.358</v>
      </c>
      <c r="F349" s="79">
        <f t="shared" si="58"/>
        <v>9847.16</v>
      </c>
      <c r="G349" s="79">
        <f t="shared" si="59"/>
        <v>7844.97</v>
      </c>
      <c r="H349" s="79">
        <f t="shared" si="60"/>
        <v>6023.249230769231</v>
      </c>
      <c r="I349" s="79">
        <f>AVERAGE($F$343:F349)</f>
        <v>6193.0271428571432</v>
      </c>
      <c r="J349" s="84">
        <f t="shared" ref="J349" si="64">+I349*52</f>
        <v>322037.41142857145</v>
      </c>
      <c r="K349" s="79">
        <f t="shared" si="61"/>
        <v>364512.93666666659</v>
      </c>
      <c r="L349" s="85">
        <f t="shared" si="62"/>
        <v>1032.1711904761905</v>
      </c>
      <c r="M349" s="79">
        <f t="shared" si="41"/>
        <v>1529721.7059666668</v>
      </c>
    </row>
    <row r="350" spans="1:13" x14ac:dyDescent="0.2">
      <c r="A350" s="83">
        <v>42057</v>
      </c>
      <c r="B350" s="79">
        <v>0</v>
      </c>
      <c r="C350" s="79">
        <v>0</v>
      </c>
      <c r="D350" s="86">
        <v>8244.09</v>
      </c>
      <c r="E350" s="28">
        <f>+D350*0.05</f>
        <v>412.20450000000005</v>
      </c>
      <c r="F350" s="79">
        <f t="shared" si="58"/>
        <v>8244.09</v>
      </c>
      <c r="G350" s="79">
        <f t="shared" si="59"/>
        <v>8033.0124999999998</v>
      </c>
      <c r="H350" s="79">
        <f t="shared" si="60"/>
        <v>6354.3153846153837</v>
      </c>
      <c r="I350" s="79">
        <f>AVERAGE($F$343:F350)</f>
        <v>6449.41</v>
      </c>
      <c r="J350" s="84">
        <f>+I350*52</f>
        <v>335369.32</v>
      </c>
      <c r="K350" s="91">
        <f t="shared" si="61"/>
        <v>361520.41666666657</v>
      </c>
      <c r="L350" s="85">
        <f t="shared" si="62"/>
        <v>1074.9016666666666</v>
      </c>
      <c r="M350" s="79">
        <f t="shared" si="41"/>
        <v>1537965.7959666669</v>
      </c>
    </row>
    <row r="351" spans="1:13" x14ac:dyDescent="0.2">
      <c r="A351" s="83">
        <v>42064</v>
      </c>
      <c r="B351" s="79">
        <v>0</v>
      </c>
      <c r="C351" s="79">
        <v>0</v>
      </c>
      <c r="D351" s="106">
        <v>8528.43</v>
      </c>
      <c r="E351" s="28">
        <f>+D351*0.05</f>
        <v>426.42150000000004</v>
      </c>
      <c r="F351" s="79">
        <f t="shared" ref="F351:F353" si="65">SUM(B351:D351)</f>
        <v>8528.43</v>
      </c>
      <c r="G351" s="79">
        <f t="shared" ref="G351:G353" si="66">AVERAGE(F348:F351)</f>
        <v>8706.1975000000002</v>
      </c>
      <c r="H351" s="79">
        <f t="shared" ref="H351:H353" si="67">AVERAGE(F339:F351)</f>
        <v>6529.0776923076928</v>
      </c>
      <c r="I351" s="79">
        <f>AVERAGE($F$343:F351)</f>
        <v>6680.4122222222222</v>
      </c>
      <c r="J351" s="84">
        <f>+I351*52</f>
        <v>347381.43555555557</v>
      </c>
      <c r="K351" s="79">
        <f t="shared" ref="K351:K353" si="68">SUM(F300:F351)</f>
        <v>358183.87666666659</v>
      </c>
      <c r="L351" s="85">
        <f t="shared" ref="L351:L353" si="69">+I351/6</f>
        <v>1113.402037037037</v>
      </c>
      <c r="M351" s="79">
        <f t="shared" si="41"/>
        <v>1546494.2259666668</v>
      </c>
    </row>
    <row r="352" spans="1:13" x14ac:dyDescent="0.2">
      <c r="A352" s="83">
        <v>42071</v>
      </c>
      <c r="B352" s="79">
        <v>0</v>
      </c>
      <c r="C352" s="79">
        <v>0</v>
      </c>
      <c r="D352" s="106">
        <v>7087.66</v>
      </c>
      <c r="E352" s="28">
        <f t="shared" ref="E352" si="70">+D352*0.05</f>
        <v>354.38300000000004</v>
      </c>
      <c r="F352" s="79">
        <f t="shared" si="65"/>
        <v>7087.66</v>
      </c>
      <c r="G352" s="79">
        <f t="shared" si="66"/>
        <v>8426.8349999999991</v>
      </c>
      <c r="H352" s="79">
        <f t="shared" si="67"/>
        <v>6534.3638461538467</v>
      </c>
      <c r="I352" s="79">
        <f>AVERAGE($F$343:F352)</f>
        <v>6721.1369999999997</v>
      </c>
      <c r="J352" s="84">
        <f t="shared" ref="J352" si="71">+I352*52</f>
        <v>349499.12400000001</v>
      </c>
      <c r="K352" s="79">
        <f t="shared" si="68"/>
        <v>357290.87666666659</v>
      </c>
      <c r="L352" s="85">
        <f t="shared" si="69"/>
        <v>1120.1895</v>
      </c>
      <c r="M352" s="79">
        <f t="shared" si="41"/>
        <v>1553581.8859666667</v>
      </c>
    </row>
    <row r="353" spans="1:13" x14ac:dyDescent="0.2">
      <c r="A353" s="83">
        <v>42078</v>
      </c>
      <c r="B353" s="79">
        <v>0</v>
      </c>
      <c r="C353" s="79">
        <v>0</v>
      </c>
      <c r="D353" s="106">
        <v>6337.3</v>
      </c>
      <c r="E353" s="28">
        <f>+D353*0.05</f>
        <v>316.86500000000001</v>
      </c>
      <c r="F353" s="79">
        <f t="shared" si="65"/>
        <v>6337.3</v>
      </c>
      <c r="G353" s="79">
        <f t="shared" si="66"/>
        <v>7549.37</v>
      </c>
      <c r="H353" s="79">
        <f t="shared" si="67"/>
        <v>6477.3315384615398</v>
      </c>
      <c r="I353" s="79">
        <f>AVERAGE($F$343:F353)</f>
        <v>6686.2427272727273</v>
      </c>
      <c r="J353" s="84">
        <f>+I353*52</f>
        <v>347684.62181818183</v>
      </c>
      <c r="K353" s="91">
        <f t="shared" si="68"/>
        <v>356991.45666666655</v>
      </c>
      <c r="L353" s="85">
        <f t="shared" si="69"/>
        <v>1114.3737878787879</v>
      </c>
      <c r="M353" s="79">
        <f t="shared" si="41"/>
        <v>1559919.1859666668</v>
      </c>
    </row>
    <row r="354" spans="1:13" x14ac:dyDescent="0.2">
      <c r="A354" s="83">
        <v>42085</v>
      </c>
      <c r="B354" s="79">
        <v>0</v>
      </c>
      <c r="C354" s="79">
        <v>0</v>
      </c>
      <c r="D354" s="86">
        <v>6553.92</v>
      </c>
      <c r="E354" s="28">
        <f>+D354*0.05</f>
        <v>327.69600000000003</v>
      </c>
      <c r="F354" s="79">
        <f t="shared" ref="F354:F356" si="72">SUM(B354:D354)</f>
        <v>6553.92</v>
      </c>
      <c r="G354" s="79">
        <f t="shared" ref="G354:G356" si="73">AVERAGE(F351:F354)</f>
        <v>7126.8274999999994</v>
      </c>
      <c r="H354" s="79">
        <f t="shared" ref="H354:H356" si="74">AVERAGE(F342:F354)</f>
        <v>6468.8407692307683</v>
      </c>
      <c r="I354" s="79">
        <f>AVERAGE($F$343:F354)</f>
        <v>6675.2158333333327</v>
      </c>
      <c r="J354" s="84">
        <f>+I354*52</f>
        <v>347111.22333333333</v>
      </c>
      <c r="K354" s="79">
        <f t="shared" ref="K354:K356" si="75">SUM(F303:F354)</f>
        <v>357257.45666666655</v>
      </c>
      <c r="L354" s="85">
        <f t="shared" ref="L354:L356" si="76">+I354/6</f>
        <v>1112.5359722222222</v>
      </c>
      <c r="M354" s="79">
        <f t="shared" si="41"/>
        <v>1566473.1059666667</v>
      </c>
    </row>
    <row r="355" spans="1:13" x14ac:dyDescent="0.2">
      <c r="A355" s="83">
        <v>42092</v>
      </c>
      <c r="B355" s="79">
        <v>0</v>
      </c>
      <c r="C355" s="79">
        <v>0</v>
      </c>
      <c r="D355" s="106">
        <v>10341.27</v>
      </c>
      <c r="E355" s="28">
        <f t="shared" ref="E355" si="77">+D355*0.05</f>
        <v>517.06350000000009</v>
      </c>
      <c r="F355" s="79">
        <f t="shared" si="72"/>
        <v>10341.27</v>
      </c>
      <c r="G355" s="79">
        <f t="shared" si="73"/>
        <v>7580.0374999999995</v>
      </c>
      <c r="H355" s="79">
        <f t="shared" si="74"/>
        <v>6957.22</v>
      </c>
      <c r="I355" s="79">
        <f>AVERAGE($F$343:F355)</f>
        <v>6957.22</v>
      </c>
      <c r="J355" s="84">
        <f t="shared" ref="J355" si="78">+I355*52</f>
        <v>361775.44</v>
      </c>
      <c r="K355" s="79">
        <f t="shared" si="75"/>
        <v>361149.78666666662</v>
      </c>
      <c r="L355" s="85">
        <f t="shared" si="76"/>
        <v>1159.5366666666666</v>
      </c>
      <c r="M355" s="79">
        <f t="shared" si="41"/>
        <v>1576814.3759666667</v>
      </c>
    </row>
    <row r="356" spans="1:13" x14ac:dyDescent="0.2">
      <c r="A356" s="83">
        <v>42099</v>
      </c>
      <c r="B356" s="79">
        <v>0</v>
      </c>
      <c r="C356" s="79">
        <v>0</v>
      </c>
      <c r="D356" s="86">
        <v>9661.16</v>
      </c>
      <c r="E356" s="28">
        <f>+D356*0.05</f>
        <v>483.05799999999999</v>
      </c>
      <c r="F356" s="79">
        <f t="shared" si="72"/>
        <v>9661.16</v>
      </c>
      <c r="G356" s="79">
        <f t="shared" si="73"/>
        <v>8223.4125000000004</v>
      </c>
      <c r="H356" s="79">
        <f t="shared" si="74"/>
        <v>7474.1184615384618</v>
      </c>
      <c r="I356" s="79">
        <f>AVERAGE($F$343:F356)</f>
        <v>7150.3585714285718</v>
      </c>
      <c r="J356" s="84">
        <f>+I356*52</f>
        <v>371818.64571428573</v>
      </c>
      <c r="K356" s="91">
        <f t="shared" si="75"/>
        <v>361689.20666666655</v>
      </c>
      <c r="L356" s="85">
        <f t="shared" si="76"/>
        <v>1191.7264285714286</v>
      </c>
      <c r="M356" s="79">
        <f t="shared" si="41"/>
        <v>1586475.5359666666</v>
      </c>
    </row>
    <row r="357" spans="1:13" x14ac:dyDescent="0.2">
      <c r="A357" s="83">
        <v>42106</v>
      </c>
      <c r="B357" s="79">
        <v>0</v>
      </c>
      <c r="C357" s="79">
        <v>0</v>
      </c>
      <c r="D357" s="106">
        <v>9138.3700000000008</v>
      </c>
      <c r="E357" s="28">
        <f>+D357*0.05</f>
        <v>456.91850000000005</v>
      </c>
      <c r="F357" s="79">
        <f t="shared" ref="F357:F359" si="79">SUM(B357:D357)</f>
        <v>9138.3700000000008</v>
      </c>
      <c r="G357" s="79">
        <f t="shared" ref="G357:G359" si="80">AVERAGE(F354:F357)</f>
        <v>8923.68</v>
      </c>
      <c r="H357" s="79">
        <f t="shared" ref="H357:H359" si="81">AVERAGE(F345:F357)</f>
        <v>7957.4007692307687</v>
      </c>
      <c r="I357" s="79">
        <f>AVERAGE($F$343:F357)</f>
        <v>7282.8926666666666</v>
      </c>
      <c r="J357" s="84">
        <f>+I357*52</f>
        <v>378710.41866666666</v>
      </c>
      <c r="K357" s="79">
        <f t="shared" ref="K357:K359" si="82">SUM(F306:F357)</f>
        <v>360057.68666666653</v>
      </c>
      <c r="L357" s="85">
        <f t="shared" ref="L357:L359" si="83">+I357/6</f>
        <v>1213.8154444444444</v>
      </c>
      <c r="M357" s="79">
        <f t="shared" si="41"/>
        <v>1595613.9059666668</v>
      </c>
    </row>
    <row r="358" spans="1:13" x14ac:dyDescent="0.2">
      <c r="A358" s="83">
        <v>42113</v>
      </c>
      <c r="B358" s="79">
        <v>0</v>
      </c>
      <c r="C358" s="79">
        <v>0</v>
      </c>
      <c r="D358" s="106">
        <v>6657.56</v>
      </c>
      <c r="E358" s="28">
        <f t="shared" ref="E358" si="84">+D358*0.05</f>
        <v>332.87800000000004</v>
      </c>
      <c r="F358" s="79">
        <f t="shared" si="79"/>
        <v>6657.56</v>
      </c>
      <c r="G358" s="79">
        <f t="shared" si="80"/>
        <v>8949.59</v>
      </c>
      <c r="H358" s="79">
        <f t="shared" si="81"/>
        <v>7994.5876923076921</v>
      </c>
      <c r="I358" s="79">
        <f>AVERAGE($F$343:F358)</f>
        <v>7243.8093749999998</v>
      </c>
      <c r="J358" s="84">
        <f t="shared" ref="J358" si="85">+I358*52</f>
        <v>376678.08749999997</v>
      </c>
      <c r="K358" s="79">
        <f t="shared" si="82"/>
        <v>359267.6566666665</v>
      </c>
      <c r="L358" s="85">
        <f t="shared" si="83"/>
        <v>1207.3015625</v>
      </c>
      <c r="M358" s="79">
        <f t="shared" si="41"/>
        <v>1602271.4659666668</v>
      </c>
    </row>
    <row r="359" spans="1:13" x14ac:dyDescent="0.2">
      <c r="A359" s="83">
        <v>42120</v>
      </c>
      <c r="B359" s="79">
        <v>0</v>
      </c>
      <c r="C359" s="79">
        <v>0</v>
      </c>
      <c r="D359" s="86">
        <v>6983.59</v>
      </c>
      <c r="E359" s="28">
        <f>+D359*0.05</f>
        <v>349.17950000000002</v>
      </c>
      <c r="F359" s="79">
        <f t="shared" si="79"/>
        <v>6983.59</v>
      </c>
      <c r="G359" s="79">
        <f t="shared" si="80"/>
        <v>8110.17</v>
      </c>
      <c r="H359" s="79">
        <f t="shared" si="81"/>
        <v>7955.4853846153846</v>
      </c>
      <c r="I359" s="79">
        <f>AVERAGE($F$343:F359)</f>
        <v>7228.5023529411765</v>
      </c>
      <c r="J359" s="84">
        <f>+I359*52</f>
        <v>375882.12235294119</v>
      </c>
      <c r="K359" s="91">
        <f t="shared" si="82"/>
        <v>357297.48666666663</v>
      </c>
      <c r="L359" s="85">
        <f t="shared" si="83"/>
        <v>1204.7503921568627</v>
      </c>
      <c r="M359" s="79">
        <f t="shared" si="41"/>
        <v>1609255.0559666669</v>
      </c>
    </row>
    <row r="360" spans="1:13" x14ac:dyDescent="0.2">
      <c r="A360" s="83">
        <v>42127</v>
      </c>
      <c r="B360" s="79">
        <v>0</v>
      </c>
      <c r="C360" s="79">
        <v>0</v>
      </c>
      <c r="D360" s="106">
        <v>10858.55</v>
      </c>
      <c r="E360" s="28">
        <f>+D360*0.05</f>
        <v>542.92750000000001</v>
      </c>
      <c r="F360" s="79">
        <f t="shared" ref="F360:F362" si="86">SUM(B360:D360)</f>
        <v>10858.55</v>
      </c>
      <c r="G360" s="79">
        <f t="shared" ref="G360:G362" si="87">AVERAGE(F357:F360)</f>
        <v>8409.5174999999999</v>
      </c>
      <c r="H360" s="79">
        <f t="shared" ref="H360:H362" si="88">AVERAGE(F348:F360)</f>
        <v>8341.8592307692306</v>
      </c>
      <c r="I360" s="79">
        <f>AVERAGE($F$343:F360)</f>
        <v>7430.1716666666662</v>
      </c>
      <c r="J360" s="84">
        <f>+I360*52</f>
        <v>386368.92666666664</v>
      </c>
      <c r="K360" s="79">
        <f t="shared" ref="K360:K362" si="89">SUM(F309:F360)</f>
        <v>360203.10666666657</v>
      </c>
      <c r="L360" s="85">
        <f t="shared" ref="L360:L362" si="90">+I360/6</f>
        <v>1238.3619444444444</v>
      </c>
      <c r="M360" s="79">
        <f t="shared" si="41"/>
        <v>1620113.6059666669</v>
      </c>
    </row>
    <row r="361" spans="1:13" x14ac:dyDescent="0.2">
      <c r="A361" s="83">
        <v>42134</v>
      </c>
      <c r="B361" s="79">
        <v>0</v>
      </c>
      <c r="C361" s="79">
        <v>0</v>
      </c>
      <c r="D361" s="106">
        <v>7126.39</v>
      </c>
      <c r="E361" s="28">
        <f t="shared" ref="E361" si="91">+D361*0.05</f>
        <v>356.31950000000006</v>
      </c>
      <c r="F361" s="79">
        <f t="shared" si="86"/>
        <v>7126.39</v>
      </c>
      <c r="G361" s="79">
        <f t="shared" si="87"/>
        <v>7906.5225</v>
      </c>
      <c r="H361" s="79">
        <f t="shared" si="88"/>
        <v>8258.8807692307691</v>
      </c>
      <c r="I361" s="79">
        <f>AVERAGE($F$343:F361)</f>
        <v>7414.1831578947376</v>
      </c>
      <c r="J361" s="84">
        <f t="shared" ref="J361" si="92">+I361*52</f>
        <v>385537.52421052638</v>
      </c>
      <c r="K361" s="79">
        <f t="shared" si="89"/>
        <v>361060.90666666662</v>
      </c>
      <c r="L361" s="85">
        <f t="shared" si="90"/>
        <v>1235.6971929824563</v>
      </c>
      <c r="M361" s="79">
        <f t="shared" si="41"/>
        <v>1627239.9959666668</v>
      </c>
    </row>
    <row r="362" spans="1:13" x14ac:dyDescent="0.2">
      <c r="A362" s="83">
        <v>42141</v>
      </c>
      <c r="B362" s="79">
        <v>0</v>
      </c>
      <c r="C362" s="79">
        <v>0</v>
      </c>
      <c r="D362" s="86">
        <v>6263.73</v>
      </c>
      <c r="E362" s="28">
        <f>+D362*0.05</f>
        <v>313.18650000000002</v>
      </c>
      <c r="F362" s="79">
        <f t="shared" si="86"/>
        <v>6263.73</v>
      </c>
      <c r="G362" s="79">
        <f t="shared" si="87"/>
        <v>7808.0649999999996</v>
      </c>
      <c r="H362" s="79">
        <f t="shared" si="88"/>
        <v>7983.2323076923067</v>
      </c>
      <c r="I362" s="79">
        <f>AVERAGE($F$343:F362)</f>
        <v>7356.6605000000009</v>
      </c>
      <c r="J362" s="84">
        <f>+I362*52</f>
        <v>382546.34600000002</v>
      </c>
      <c r="K362" s="91">
        <f t="shared" si="89"/>
        <v>359411.83666666661</v>
      </c>
      <c r="L362" s="85">
        <f t="shared" si="90"/>
        <v>1226.1100833333335</v>
      </c>
      <c r="M362" s="79">
        <f t="shared" si="41"/>
        <v>1633503.7259666668</v>
      </c>
    </row>
    <row r="363" spans="1:13" x14ac:dyDescent="0.2">
      <c r="A363" s="83">
        <v>42148</v>
      </c>
      <c r="B363" s="79">
        <v>0</v>
      </c>
      <c r="C363" s="79">
        <v>0</v>
      </c>
      <c r="D363" s="106">
        <v>5541.14</v>
      </c>
      <c r="E363" s="28">
        <f>+D363*0.05</f>
        <v>277.05700000000002</v>
      </c>
      <c r="F363" s="79">
        <f t="shared" ref="F363:F365" si="93">SUM(B363:D363)</f>
        <v>5541.14</v>
      </c>
      <c r="G363" s="79">
        <f t="shared" ref="G363:G365" si="94">AVERAGE(F360:F363)</f>
        <v>7447.4524999999994</v>
      </c>
      <c r="H363" s="79">
        <f t="shared" ref="H363:H365" si="95">AVERAGE(F351:F363)</f>
        <v>7775.3130769230775</v>
      </c>
      <c r="I363" s="79">
        <f>AVERAGE($F$343:F363)</f>
        <v>7270.2071428571444</v>
      </c>
      <c r="J363" s="84">
        <f>+I363*52</f>
        <v>378050.77142857149</v>
      </c>
      <c r="K363" s="79">
        <f t="shared" ref="K363:K365" si="96">SUM(F312:F363)</f>
        <v>358972.37666666665</v>
      </c>
      <c r="L363" s="85">
        <f t="shared" ref="L363:L365" si="97">+I363/6</f>
        <v>1211.7011904761907</v>
      </c>
      <c r="M363" s="79">
        <f t="shared" si="41"/>
        <v>1639044.8659666667</v>
      </c>
    </row>
    <row r="364" spans="1:13" x14ac:dyDescent="0.2">
      <c r="A364" s="83">
        <v>42155</v>
      </c>
      <c r="B364" s="79">
        <v>0</v>
      </c>
      <c r="C364" s="79">
        <v>0</v>
      </c>
      <c r="D364" s="106">
        <v>11304.62</v>
      </c>
      <c r="E364" s="28">
        <f t="shared" ref="E364" si="98">+D364*0.05</f>
        <v>565.23100000000011</v>
      </c>
      <c r="F364" s="79">
        <f t="shared" si="93"/>
        <v>11304.62</v>
      </c>
      <c r="G364" s="79">
        <f t="shared" si="94"/>
        <v>7558.9699999999993</v>
      </c>
      <c r="H364" s="79">
        <f t="shared" si="95"/>
        <v>7988.8661538461538</v>
      </c>
      <c r="I364" s="79">
        <f>AVERAGE($F$343:F364)</f>
        <v>7453.5895454545471</v>
      </c>
      <c r="J364" s="84">
        <f t="shared" ref="J364" si="99">+I364*52</f>
        <v>387586.65636363643</v>
      </c>
      <c r="K364" s="79">
        <f t="shared" si="96"/>
        <v>364200.21666666662</v>
      </c>
      <c r="L364" s="85">
        <f t="shared" si="97"/>
        <v>1242.2649242424245</v>
      </c>
      <c r="M364" s="79">
        <f t="shared" si="41"/>
        <v>1650349.4859666668</v>
      </c>
    </row>
    <row r="365" spans="1:13" x14ac:dyDescent="0.2">
      <c r="A365" s="83">
        <v>42162</v>
      </c>
      <c r="B365" s="79">
        <v>0</v>
      </c>
      <c r="C365" s="79">
        <v>0</v>
      </c>
      <c r="D365" s="106">
        <v>5413.36</v>
      </c>
      <c r="E365" s="28">
        <f>+D365*0.05</f>
        <v>270.66800000000001</v>
      </c>
      <c r="F365" s="79">
        <f t="shared" si="93"/>
        <v>5413.36</v>
      </c>
      <c r="G365" s="79">
        <f t="shared" si="94"/>
        <v>7130.7124999999996</v>
      </c>
      <c r="H365" s="79">
        <f t="shared" si="95"/>
        <v>7860.0738461538458</v>
      </c>
      <c r="I365" s="79">
        <f>AVERAGE($F$343:F365)</f>
        <v>7364.883913043479</v>
      </c>
      <c r="J365" s="84">
        <f>+I365*52</f>
        <v>382973.96347826091</v>
      </c>
      <c r="K365" s="91">
        <f t="shared" si="96"/>
        <v>363180.91666666663</v>
      </c>
      <c r="L365" s="85">
        <f t="shared" si="97"/>
        <v>1227.4806521739131</v>
      </c>
      <c r="M365" s="79">
        <f t="shared" si="41"/>
        <v>1655762.8459666669</v>
      </c>
    </row>
    <row r="366" spans="1:13" x14ac:dyDescent="0.2">
      <c r="A366" s="83">
        <v>42169</v>
      </c>
      <c r="B366" s="79">
        <v>0</v>
      </c>
      <c r="C366" s="79">
        <v>0</v>
      </c>
      <c r="D366" s="106">
        <v>5053.22</v>
      </c>
      <c r="E366" s="28">
        <f>+D366*0.05</f>
        <v>252.66100000000003</v>
      </c>
      <c r="F366" s="79">
        <f t="shared" ref="F366:F368" si="100">SUM(B366:D366)</f>
        <v>5053.22</v>
      </c>
      <c r="G366" s="79">
        <f t="shared" ref="G366:G368" si="101">AVERAGE(F363:F366)</f>
        <v>6828.0850000000009</v>
      </c>
      <c r="H366" s="79">
        <f t="shared" ref="H366:H368" si="102">AVERAGE(F354:F366)</f>
        <v>7761.2984615384612</v>
      </c>
      <c r="I366" s="79">
        <f>AVERAGE($F$343:F366)</f>
        <v>7268.5645833333338</v>
      </c>
      <c r="J366" s="84">
        <f>+I366*52</f>
        <v>377965.35833333334</v>
      </c>
      <c r="K366" s="79">
        <f t="shared" ref="K366:K368" si="103">SUM(F315:F366)</f>
        <v>360385.35666666669</v>
      </c>
      <c r="L366" s="85">
        <f t="shared" ref="L366:L368" si="104">+I366/6</f>
        <v>1211.4274305555557</v>
      </c>
      <c r="M366" s="79">
        <f t="shared" si="41"/>
        <v>1660816.0659666669</v>
      </c>
    </row>
    <row r="367" spans="1:13" x14ac:dyDescent="0.2">
      <c r="A367" s="83">
        <v>42176</v>
      </c>
      <c r="B367" s="79">
        <v>0</v>
      </c>
      <c r="C367" s="79">
        <v>0</v>
      </c>
      <c r="D367" s="106">
        <v>6573.79</v>
      </c>
      <c r="E367" s="28">
        <f t="shared" ref="E367" si="105">+D367*0.05</f>
        <v>328.68950000000001</v>
      </c>
      <c r="F367" s="79">
        <f t="shared" si="100"/>
        <v>6573.79</v>
      </c>
      <c r="G367" s="79">
        <f t="shared" si="101"/>
        <v>7086.2475000000004</v>
      </c>
      <c r="H367" s="79">
        <f t="shared" si="102"/>
        <v>7762.826923076922</v>
      </c>
      <c r="I367" s="79">
        <f>AVERAGE($F$343:F367)</f>
        <v>7240.7736000000014</v>
      </c>
      <c r="J367" s="84">
        <f t="shared" ref="J367" si="106">+I367*52</f>
        <v>376520.22720000008</v>
      </c>
      <c r="K367" s="79">
        <f t="shared" si="103"/>
        <v>362863.35666666663</v>
      </c>
      <c r="L367" s="85">
        <f t="shared" si="104"/>
        <v>1206.7956000000001</v>
      </c>
      <c r="M367" s="79">
        <f t="shared" si="41"/>
        <v>1667389.8559666669</v>
      </c>
    </row>
    <row r="368" spans="1:13" x14ac:dyDescent="0.2">
      <c r="A368" s="83">
        <v>42183</v>
      </c>
      <c r="B368" s="79">
        <v>0</v>
      </c>
      <c r="C368" s="79">
        <v>0</v>
      </c>
      <c r="D368" s="86">
        <v>5711.3</v>
      </c>
      <c r="E368" s="28">
        <f>+D368*0.05</f>
        <v>285.565</v>
      </c>
      <c r="F368" s="79">
        <f t="shared" si="100"/>
        <v>5711.3</v>
      </c>
      <c r="G368" s="79">
        <f t="shared" si="101"/>
        <v>5687.9174999999996</v>
      </c>
      <c r="H368" s="79">
        <f t="shared" si="102"/>
        <v>7406.6753846153833</v>
      </c>
      <c r="I368" s="79">
        <f>AVERAGE($F$343:F368)</f>
        <v>7181.9476923076927</v>
      </c>
      <c r="J368" s="84">
        <f>+I368*52</f>
        <v>373461.28</v>
      </c>
      <c r="K368" s="91">
        <f t="shared" si="103"/>
        <v>361627.96666666662</v>
      </c>
      <c r="L368" s="85">
        <f t="shared" si="104"/>
        <v>1196.991282051282</v>
      </c>
      <c r="M368" s="79">
        <f t="shared" si="41"/>
        <v>1673101.155966667</v>
      </c>
    </row>
    <row r="369" spans="1:13" x14ac:dyDescent="0.2">
      <c r="A369" s="83">
        <v>42190</v>
      </c>
      <c r="B369" s="79">
        <v>0</v>
      </c>
      <c r="C369" s="79">
        <v>0</v>
      </c>
      <c r="D369" s="86">
        <v>5265.93</v>
      </c>
      <c r="E369" s="28">
        <f>+D369*0.05</f>
        <v>263.29650000000004</v>
      </c>
      <c r="F369" s="79">
        <f t="shared" ref="F369:F371" si="107">SUM(B369:D369)</f>
        <v>5265.93</v>
      </c>
      <c r="G369" s="79">
        <f t="shared" ref="G369:G371" si="108">AVERAGE(F366:F369)</f>
        <v>5651.06</v>
      </c>
      <c r="H369" s="79">
        <f t="shared" ref="H369:H371" si="109">AVERAGE(F357:F369)</f>
        <v>7068.5807692307681</v>
      </c>
      <c r="I369" s="79">
        <f>AVERAGE($F$343:F369)</f>
        <v>7110.9840740740747</v>
      </c>
      <c r="J369" s="84">
        <f>+I369*52</f>
        <v>369771.17185185186</v>
      </c>
      <c r="K369" s="79">
        <f t="shared" ref="K369:K371" si="110">SUM(F318:F369)</f>
        <v>362203.0766666666</v>
      </c>
      <c r="L369" s="85">
        <f t="shared" ref="L369:L371" si="111">+I369/6</f>
        <v>1185.1640123456791</v>
      </c>
      <c r="M369" s="79">
        <f t="shared" si="41"/>
        <v>1678367.0859666669</v>
      </c>
    </row>
    <row r="370" spans="1:13" x14ac:dyDescent="0.2">
      <c r="A370" s="83">
        <v>42197</v>
      </c>
      <c r="B370" s="79">
        <v>0</v>
      </c>
      <c r="C370" s="79">
        <v>0</v>
      </c>
      <c r="D370" s="106">
        <v>5184.5200000000004</v>
      </c>
      <c r="E370" s="28">
        <f t="shared" ref="E370" si="112">+D370*0.05</f>
        <v>259.22600000000006</v>
      </c>
      <c r="F370" s="79">
        <f t="shared" si="107"/>
        <v>5184.5200000000004</v>
      </c>
      <c r="G370" s="79">
        <f t="shared" si="108"/>
        <v>5683.8850000000002</v>
      </c>
      <c r="H370" s="79">
        <f t="shared" si="109"/>
        <v>6764.4384615384615</v>
      </c>
      <c r="I370" s="79">
        <f>AVERAGE($F$343:F370)</f>
        <v>7042.181785714286</v>
      </c>
      <c r="J370" s="84">
        <f t="shared" ref="J370" si="113">+I370*52</f>
        <v>366193.4528571429</v>
      </c>
      <c r="K370" s="79">
        <f t="shared" si="110"/>
        <v>359485.60666666663</v>
      </c>
      <c r="L370" s="85">
        <f t="shared" si="111"/>
        <v>1173.6969642857143</v>
      </c>
      <c r="M370" s="79">
        <f t="shared" si="41"/>
        <v>1683551.6059666669</v>
      </c>
    </row>
    <row r="371" spans="1:13" x14ac:dyDescent="0.2">
      <c r="A371" s="83">
        <v>42204</v>
      </c>
      <c r="B371" s="79">
        <v>0</v>
      </c>
      <c r="C371" s="79">
        <v>0</v>
      </c>
      <c r="D371" s="86">
        <v>6250.35</v>
      </c>
      <c r="E371" s="28">
        <f>+D371*0.05</f>
        <v>312.51750000000004</v>
      </c>
      <c r="F371" s="79">
        <f t="shared" si="107"/>
        <v>6250.35</v>
      </c>
      <c r="G371" s="79">
        <f t="shared" si="108"/>
        <v>5603.0249999999996</v>
      </c>
      <c r="H371" s="79">
        <f t="shared" si="109"/>
        <v>6733.1146153846157</v>
      </c>
      <c r="I371" s="79">
        <f>AVERAGE($F$343:F371)</f>
        <v>7014.8772413793104</v>
      </c>
      <c r="J371" s="84">
        <f>+I371*52</f>
        <v>364773.61655172415</v>
      </c>
      <c r="K371" s="91">
        <f t="shared" si="110"/>
        <v>358267.48999999993</v>
      </c>
      <c r="L371" s="85">
        <f t="shared" si="111"/>
        <v>1169.1462068965518</v>
      </c>
      <c r="M371" s="79">
        <f t="shared" si="41"/>
        <v>1689801.955966667</v>
      </c>
    </row>
    <row r="372" spans="1:13" x14ac:dyDescent="0.2">
      <c r="A372" s="83">
        <v>42211</v>
      </c>
      <c r="B372" s="79">
        <v>0</v>
      </c>
      <c r="C372" s="79">
        <v>0</v>
      </c>
      <c r="D372" s="86">
        <v>5715.09</v>
      </c>
      <c r="E372" s="28">
        <f>+D372*0.05</f>
        <v>285.75450000000001</v>
      </c>
      <c r="F372" s="79">
        <f t="shared" ref="F372:F374" si="114">SUM(B372:D372)</f>
        <v>5715.09</v>
      </c>
      <c r="G372" s="79">
        <f t="shared" ref="G372:G374" si="115">AVERAGE(F369:F372)</f>
        <v>5603.9725000000008</v>
      </c>
      <c r="H372" s="79">
        <f t="shared" ref="H372:H374" si="116">AVERAGE(F360:F372)</f>
        <v>6635.5376923076929</v>
      </c>
      <c r="I372" s="79">
        <f>AVERAGE($F$343:F372)</f>
        <v>6971.5510000000004</v>
      </c>
      <c r="J372" s="84">
        <f>+I372*52</f>
        <v>362520.652</v>
      </c>
      <c r="K372" s="79">
        <f t="shared" ref="K372:K374" si="117">SUM(F321:F372)</f>
        <v>359356.93</v>
      </c>
      <c r="L372" s="85">
        <f t="shared" ref="L372:L374" si="118">+I372/6</f>
        <v>1161.9251666666667</v>
      </c>
      <c r="M372" s="79">
        <f t="shared" si="41"/>
        <v>1695517.0459666671</v>
      </c>
    </row>
    <row r="373" spans="1:13" x14ac:dyDescent="0.2">
      <c r="A373" s="83">
        <v>42218</v>
      </c>
      <c r="B373" s="79">
        <v>0</v>
      </c>
      <c r="C373" s="79">
        <v>0</v>
      </c>
      <c r="D373" s="86">
        <v>6163.02</v>
      </c>
      <c r="E373" s="28">
        <f t="shared" ref="E373" si="119">+D373*0.05</f>
        <v>308.15100000000007</v>
      </c>
      <c r="F373" s="79">
        <f t="shared" si="114"/>
        <v>6163.02</v>
      </c>
      <c r="G373" s="79">
        <f t="shared" si="115"/>
        <v>5828.2449999999999</v>
      </c>
      <c r="H373" s="79">
        <f t="shared" si="116"/>
        <v>6274.3430769230772</v>
      </c>
      <c r="I373" s="79">
        <f>AVERAGE($F$343:F373)</f>
        <v>6945.4693548387095</v>
      </c>
      <c r="J373" s="84">
        <f t="shared" ref="J373" si="120">+I373*52</f>
        <v>361164.40645161289</v>
      </c>
      <c r="K373" s="79">
        <f t="shared" si="117"/>
        <v>360520.75</v>
      </c>
      <c r="L373" s="85">
        <f t="shared" si="118"/>
        <v>1157.5782258064517</v>
      </c>
      <c r="M373" s="79">
        <f t="shared" si="41"/>
        <v>1701680.0659666671</v>
      </c>
    </row>
    <row r="374" spans="1:13" x14ac:dyDescent="0.2">
      <c r="A374" s="83">
        <v>42225</v>
      </c>
      <c r="B374" s="79">
        <v>0</v>
      </c>
      <c r="C374" s="79">
        <v>0</v>
      </c>
      <c r="D374" s="86">
        <v>6052.07</v>
      </c>
      <c r="E374" s="28">
        <f>+D374*0.05</f>
        <v>302.6035</v>
      </c>
      <c r="F374" s="79">
        <f t="shared" si="114"/>
        <v>6052.07</v>
      </c>
      <c r="G374" s="79">
        <f t="shared" si="115"/>
        <v>6045.1324999999997</v>
      </c>
      <c r="H374" s="79">
        <f t="shared" si="116"/>
        <v>6191.7030769230778</v>
      </c>
      <c r="I374" s="79">
        <f>AVERAGE($F$343:F374)</f>
        <v>6917.5506249999999</v>
      </c>
      <c r="J374" s="84">
        <f>+I374*52</f>
        <v>359712.63250000001</v>
      </c>
      <c r="K374" s="91">
        <f t="shared" si="117"/>
        <v>357912.25</v>
      </c>
      <c r="L374" s="85">
        <f t="shared" si="118"/>
        <v>1152.9251041666666</v>
      </c>
      <c r="M374" s="79">
        <f t="shared" si="41"/>
        <v>1707732.1359666672</v>
      </c>
    </row>
    <row r="375" spans="1:13" x14ac:dyDescent="0.2">
      <c r="A375" s="83">
        <v>42232</v>
      </c>
      <c r="B375" s="79">
        <v>0</v>
      </c>
      <c r="C375" s="79">
        <v>0</v>
      </c>
      <c r="D375" s="86">
        <v>5559.4</v>
      </c>
      <c r="E375" s="28">
        <f>+D375*0.05</f>
        <v>277.96999999999997</v>
      </c>
      <c r="F375" s="79">
        <f t="shared" ref="F375:F377" si="121">SUM(B375:D375)</f>
        <v>5559.4</v>
      </c>
      <c r="G375" s="79">
        <f t="shared" ref="G375:G377" si="122">AVERAGE(F372:F375)</f>
        <v>5872.3950000000004</v>
      </c>
      <c r="H375" s="79">
        <f t="shared" ref="H375:H377" si="123">AVERAGE(F363:F375)</f>
        <v>6137.5238461538456</v>
      </c>
      <c r="I375" s="79">
        <f>AVERAGE($F$343:F375)</f>
        <v>6876.3945454545456</v>
      </c>
      <c r="J375" s="84">
        <f>+I375*52</f>
        <v>357572.51636363636</v>
      </c>
      <c r="K375" s="79">
        <f t="shared" ref="K375:K377" si="124">SUM(F324:F375)</f>
        <v>358122.57000000007</v>
      </c>
      <c r="L375" s="85">
        <f t="shared" ref="L375:L377" si="125">+I375/6</f>
        <v>1146.0657575757575</v>
      </c>
      <c r="M375" s="79">
        <f t="shared" si="41"/>
        <v>1713291.5359666671</v>
      </c>
    </row>
    <row r="376" spans="1:13" x14ac:dyDescent="0.2">
      <c r="A376" s="83">
        <v>42239</v>
      </c>
      <c r="B376" s="79">
        <v>0</v>
      </c>
      <c r="C376" s="79">
        <v>0</v>
      </c>
      <c r="D376" s="86">
        <v>4716.01</v>
      </c>
      <c r="E376" s="28">
        <f t="shared" ref="E376" si="126">+D376*0.05</f>
        <v>235.80050000000003</v>
      </c>
      <c r="F376" s="79">
        <f t="shared" si="121"/>
        <v>4716.01</v>
      </c>
      <c r="G376" s="79">
        <f t="shared" si="122"/>
        <v>5622.625</v>
      </c>
      <c r="H376" s="79">
        <f t="shared" si="123"/>
        <v>6074.0523076923082</v>
      </c>
      <c r="I376" s="79">
        <f>AVERAGE($F$343:F376)</f>
        <v>6812.8538235294118</v>
      </c>
      <c r="J376" s="84">
        <f t="shared" ref="J376" si="127">+I376*52</f>
        <v>354268.39882352942</v>
      </c>
      <c r="K376" s="79">
        <f t="shared" si="124"/>
        <v>356382.06999999995</v>
      </c>
      <c r="L376" s="85">
        <f t="shared" si="125"/>
        <v>1135.475637254902</v>
      </c>
      <c r="M376" s="79">
        <f t="shared" si="41"/>
        <v>1718007.5459666671</v>
      </c>
    </row>
    <row r="377" spans="1:13" x14ac:dyDescent="0.2">
      <c r="A377" s="83">
        <v>42246</v>
      </c>
      <c r="B377" s="79">
        <v>0</v>
      </c>
      <c r="C377" s="79">
        <v>0</v>
      </c>
      <c r="D377" s="86">
        <v>5115.42</v>
      </c>
      <c r="E377" s="28">
        <f>+D377*0.05</f>
        <v>255.77100000000002</v>
      </c>
      <c r="F377" s="79">
        <f t="shared" si="121"/>
        <v>5115.42</v>
      </c>
      <c r="G377" s="79">
        <f t="shared" si="122"/>
        <v>5360.7250000000004</v>
      </c>
      <c r="H377" s="79">
        <f t="shared" si="123"/>
        <v>5597.96</v>
      </c>
      <c r="I377" s="79">
        <f>AVERAGE($F$343:F377)</f>
        <v>6764.3557142857144</v>
      </c>
      <c r="J377" s="84">
        <f>+I377*52</f>
        <v>351746.49714285717</v>
      </c>
      <c r="K377" s="91">
        <f t="shared" si="124"/>
        <v>355421.76</v>
      </c>
      <c r="L377" s="85">
        <f t="shared" si="125"/>
        <v>1127.3926190476191</v>
      </c>
      <c r="M377" s="79">
        <f t="shared" si="41"/>
        <v>1723122.965966667</v>
      </c>
    </row>
    <row r="378" spans="1:13" x14ac:dyDescent="0.2">
      <c r="A378" s="83">
        <v>42253</v>
      </c>
      <c r="B378" s="79">
        <v>0</v>
      </c>
      <c r="C378" s="79">
        <v>0</v>
      </c>
      <c r="D378" s="106">
        <v>5319.63</v>
      </c>
      <c r="E378" s="28">
        <f>+D378*0.05</f>
        <v>265.98150000000004</v>
      </c>
      <c r="F378" s="79">
        <f t="shared" ref="F378:F380" si="128">SUM(B378:D378)</f>
        <v>5319.63</v>
      </c>
      <c r="G378" s="79">
        <f t="shared" ref="G378:G380" si="129">AVERAGE(F375:F378)</f>
        <v>5177.6149999999998</v>
      </c>
      <c r="H378" s="79">
        <f t="shared" ref="H378:H380" si="130">AVERAGE(F366:F378)</f>
        <v>5590.7500000000009</v>
      </c>
      <c r="I378" s="79">
        <f>AVERAGE($F$343:F378)</f>
        <v>6724.224444444445</v>
      </c>
      <c r="J378" s="84">
        <f>+I378*52</f>
        <v>349659.67111111112</v>
      </c>
      <c r="K378" s="79">
        <f t="shared" ref="K378:K380" si="131">SUM(F327:F378)</f>
        <v>355194.32</v>
      </c>
      <c r="L378" s="85">
        <f t="shared" ref="L378:L380" si="132">+I378/6</f>
        <v>1120.7040740740742</v>
      </c>
      <c r="M378" s="79">
        <f t="shared" si="41"/>
        <v>1728442.5959666669</v>
      </c>
    </row>
    <row r="379" spans="1:13" x14ac:dyDescent="0.2">
      <c r="A379" s="83">
        <v>42260</v>
      </c>
      <c r="B379" s="79">
        <v>0</v>
      </c>
      <c r="C379" s="79">
        <v>0</v>
      </c>
      <c r="D379" s="86">
        <v>5671.06</v>
      </c>
      <c r="E379" s="28">
        <f t="shared" ref="E379" si="133">+D379*0.05</f>
        <v>283.55300000000005</v>
      </c>
      <c r="F379" s="79">
        <f t="shared" si="128"/>
        <v>5671.06</v>
      </c>
      <c r="G379" s="79">
        <f t="shared" si="129"/>
        <v>5205.5300000000007</v>
      </c>
      <c r="H379" s="79">
        <f t="shared" si="130"/>
        <v>5638.2761538461536</v>
      </c>
      <c r="I379" s="79">
        <f>AVERAGE($F$343:F379)</f>
        <v>6695.7605405405411</v>
      </c>
      <c r="J379" s="84">
        <f t="shared" ref="J379" si="134">+I379*52</f>
        <v>348179.54810810811</v>
      </c>
      <c r="K379" s="79">
        <f t="shared" si="131"/>
        <v>355225.88999999996</v>
      </c>
      <c r="L379" s="85">
        <f t="shared" si="132"/>
        <v>1115.9600900900903</v>
      </c>
      <c r="M379" s="79">
        <f t="shared" si="41"/>
        <v>1734113.655966667</v>
      </c>
    </row>
    <row r="380" spans="1:13" x14ac:dyDescent="0.2">
      <c r="A380" s="83">
        <v>42267</v>
      </c>
      <c r="B380" s="79">
        <v>0</v>
      </c>
      <c r="C380" s="79">
        <v>0</v>
      </c>
      <c r="D380" s="106">
        <v>7359.02</v>
      </c>
      <c r="E380" s="28">
        <f>+D380*0.05</f>
        <v>367.95100000000002</v>
      </c>
      <c r="F380" s="79">
        <f t="shared" si="128"/>
        <v>7359.02</v>
      </c>
      <c r="G380" s="79">
        <f t="shared" si="129"/>
        <v>5866.2825000000003</v>
      </c>
      <c r="H380" s="79">
        <f t="shared" si="130"/>
        <v>5698.6784615384622</v>
      </c>
      <c r="I380" s="79">
        <f>AVERAGE($F$343:F380)</f>
        <v>6713.2147368421056</v>
      </c>
      <c r="J380" s="84">
        <f>+I380*52</f>
        <v>349087.16631578951</v>
      </c>
      <c r="K380" s="91">
        <f t="shared" si="131"/>
        <v>357340.33</v>
      </c>
      <c r="L380" s="85">
        <f t="shared" si="132"/>
        <v>1118.8691228070177</v>
      </c>
      <c r="M380" s="79">
        <f t="shared" si="41"/>
        <v>1741472.675966667</v>
      </c>
    </row>
    <row r="381" spans="1:13" x14ac:dyDescent="0.2">
      <c r="A381" s="83">
        <v>42274</v>
      </c>
      <c r="B381" s="79">
        <v>0</v>
      </c>
      <c r="C381" s="79">
        <v>0</v>
      </c>
      <c r="D381" s="86">
        <v>6153.94</v>
      </c>
      <c r="E381" s="28">
        <f>+D381*0.05</f>
        <v>307.697</v>
      </c>
      <c r="F381" s="79">
        <f t="shared" ref="F381:F383" si="135">SUM(B381:D381)</f>
        <v>6153.94</v>
      </c>
      <c r="G381" s="79">
        <f t="shared" ref="G381:G383" si="136">AVERAGE(F378:F381)</f>
        <v>6125.9124999999995</v>
      </c>
      <c r="H381" s="79">
        <f t="shared" ref="H381:H383" si="137">AVERAGE(F369:F381)</f>
        <v>5732.7276923076925</v>
      </c>
      <c r="I381" s="79">
        <f>AVERAGE($F$343:F381)</f>
        <v>6698.874358974359</v>
      </c>
      <c r="J381" s="84">
        <f>+I381*52</f>
        <v>348341.46666666667</v>
      </c>
      <c r="K381" s="79">
        <f t="shared" ref="K381:K383" si="138">SUM(F330:F381)</f>
        <v>354532.93</v>
      </c>
      <c r="L381" s="85">
        <f t="shared" ref="L381:L383" si="139">+I381/6</f>
        <v>1116.4790598290599</v>
      </c>
      <c r="M381" s="79">
        <f t="shared" si="41"/>
        <v>1747626.615966667</v>
      </c>
    </row>
    <row r="382" spans="1:13" x14ac:dyDescent="0.2">
      <c r="A382" s="83">
        <v>42281</v>
      </c>
      <c r="B382" s="79">
        <v>0</v>
      </c>
      <c r="C382" s="79">
        <v>0</v>
      </c>
      <c r="D382" s="86">
        <v>6699.5</v>
      </c>
      <c r="E382" s="28">
        <f t="shared" ref="E382" si="140">+D382*0.05</f>
        <v>334.97500000000002</v>
      </c>
      <c r="F382" s="79">
        <f t="shared" si="135"/>
        <v>6699.5</v>
      </c>
      <c r="G382" s="79">
        <f t="shared" si="136"/>
        <v>6470.88</v>
      </c>
      <c r="H382" s="79">
        <f t="shared" si="137"/>
        <v>5843.002307692308</v>
      </c>
      <c r="I382" s="79">
        <f>AVERAGE($F$343:F382)</f>
        <v>6698.8899999999994</v>
      </c>
      <c r="J382" s="84">
        <f t="shared" ref="J382" si="141">+I382*52</f>
        <v>348342.27999999997</v>
      </c>
      <c r="K382" s="79">
        <f t="shared" si="138"/>
        <v>343216.91000000009</v>
      </c>
      <c r="L382" s="85">
        <f t="shared" si="139"/>
        <v>1116.4816666666666</v>
      </c>
      <c r="M382" s="79">
        <f t="shared" si="41"/>
        <v>1754326.115966667</v>
      </c>
    </row>
    <row r="383" spans="1:13" x14ac:dyDescent="0.2">
      <c r="A383" s="83">
        <v>42288</v>
      </c>
      <c r="B383" s="79">
        <v>0</v>
      </c>
      <c r="C383" s="79">
        <v>0</v>
      </c>
      <c r="D383" s="86">
        <v>7709.01</v>
      </c>
      <c r="E383" s="28">
        <f>+D383*0.05</f>
        <v>385.45050000000003</v>
      </c>
      <c r="F383" s="79">
        <f t="shared" si="135"/>
        <v>7709.01</v>
      </c>
      <c r="G383" s="79">
        <f t="shared" si="136"/>
        <v>6980.3675000000003</v>
      </c>
      <c r="H383" s="79">
        <f t="shared" si="137"/>
        <v>6037.1938461538457</v>
      </c>
      <c r="I383" s="79">
        <f>AVERAGE($F$343:F383)</f>
        <v>6723.5270731707315</v>
      </c>
      <c r="J383" s="84">
        <f>+I383*52</f>
        <v>349623.40780487802</v>
      </c>
      <c r="K383" s="91">
        <f t="shared" si="138"/>
        <v>343277.33000000007</v>
      </c>
      <c r="L383" s="85">
        <f t="shared" si="139"/>
        <v>1120.5878455284553</v>
      </c>
      <c r="M383" s="79">
        <f t="shared" si="41"/>
        <v>1762035.125966667</v>
      </c>
    </row>
    <row r="384" spans="1:13" x14ac:dyDescent="0.2">
      <c r="A384" s="83">
        <v>42295</v>
      </c>
      <c r="B384" s="79">
        <v>0</v>
      </c>
      <c r="C384" s="79">
        <v>0</v>
      </c>
      <c r="D384" s="86">
        <v>5826.67</v>
      </c>
      <c r="E384" s="28">
        <f>+D384*0.05</f>
        <v>291.33350000000002</v>
      </c>
      <c r="F384" s="79">
        <f t="shared" ref="F384:F386" si="142">SUM(B384:D384)</f>
        <v>5826.67</v>
      </c>
      <c r="G384" s="79">
        <f t="shared" ref="G384:G386" si="143">AVERAGE(F381:F384)</f>
        <v>6597.2799999999988</v>
      </c>
      <c r="H384" s="79">
        <f t="shared" ref="H384:H386" si="144">AVERAGE(F372:F384)</f>
        <v>6004.6030769230765</v>
      </c>
      <c r="I384" s="79">
        <f>AVERAGE($F$343:F384)</f>
        <v>6702.1733333333323</v>
      </c>
      <c r="J384" s="84">
        <f>+I384*52</f>
        <v>348513.01333333331</v>
      </c>
      <c r="K384" s="79">
        <f t="shared" ref="K384:K386" si="145">SUM(F333:F384)</f>
        <v>341580.75000000006</v>
      </c>
      <c r="L384" s="85">
        <f t="shared" ref="L384:L386" si="146">+I384/6</f>
        <v>1117.0288888888888</v>
      </c>
      <c r="M384" s="79">
        <f t="shared" ref="M384:M432" si="147">+M383+F384</f>
        <v>1767861.7959666669</v>
      </c>
    </row>
    <row r="385" spans="1:13" x14ac:dyDescent="0.2">
      <c r="A385" s="83">
        <v>42302</v>
      </c>
      <c r="B385" s="79">
        <v>0</v>
      </c>
      <c r="C385" s="79">
        <v>0</v>
      </c>
      <c r="D385" s="86">
        <v>7859.2</v>
      </c>
      <c r="E385" s="28">
        <f t="shared" ref="E385" si="148">+D385*0.05</f>
        <v>392.96000000000004</v>
      </c>
      <c r="F385" s="79">
        <f t="shared" si="142"/>
        <v>7859.2</v>
      </c>
      <c r="G385" s="79">
        <f t="shared" si="143"/>
        <v>7023.5950000000003</v>
      </c>
      <c r="H385" s="79">
        <f t="shared" si="144"/>
        <v>6169.534615384614</v>
      </c>
      <c r="I385" s="79">
        <f>AVERAGE($F$343:F385)</f>
        <v>6729.0809302325579</v>
      </c>
      <c r="J385" s="84">
        <f t="shared" ref="J385" si="149">+I385*52</f>
        <v>349912.20837209304</v>
      </c>
      <c r="K385" s="79">
        <f t="shared" si="145"/>
        <v>344829.17000000004</v>
      </c>
      <c r="L385" s="85">
        <f t="shared" si="146"/>
        <v>1121.513488372093</v>
      </c>
      <c r="M385" s="79">
        <f t="shared" si="147"/>
        <v>1775720.9959666668</v>
      </c>
    </row>
    <row r="386" spans="1:13" x14ac:dyDescent="0.2">
      <c r="A386" s="83">
        <v>42309</v>
      </c>
      <c r="B386" s="79">
        <v>0</v>
      </c>
      <c r="C386" s="79">
        <v>0</v>
      </c>
      <c r="D386" s="86">
        <v>5519.76</v>
      </c>
      <c r="E386" s="28">
        <f>+D386*0.05</f>
        <v>275.988</v>
      </c>
      <c r="F386" s="79">
        <f t="shared" si="142"/>
        <v>5519.76</v>
      </c>
      <c r="G386" s="79">
        <f t="shared" si="143"/>
        <v>6728.66</v>
      </c>
      <c r="H386" s="79">
        <f t="shared" si="144"/>
        <v>6120.0530769230772</v>
      </c>
      <c r="I386" s="79">
        <f>AVERAGE($F$343:F386)</f>
        <v>6701.5963636363631</v>
      </c>
      <c r="J386" s="84">
        <f>+I386*52</f>
        <v>348483.01090909087</v>
      </c>
      <c r="K386" s="91">
        <f t="shared" si="145"/>
        <v>342342.57000000007</v>
      </c>
      <c r="L386" s="85">
        <f t="shared" si="146"/>
        <v>1116.9327272727271</v>
      </c>
      <c r="M386" s="79">
        <f t="shared" si="147"/>
        <v>1781240.7559666669</v>
      </c>
    </row>
    <row r="387" spans="1:13" x14ac:dyDescent="0.2">
      <c r="A387" s="83">
        <v>42316</v>
      </c>
      <c r="B387" s="79">
        <v>0</v>
      </c>
      <c r="C387" s="79">
        <v>0</v>
      </c>
      <c r="D387" s="86">
        <v>5535.05</v>
      </c>
      <c r="E387" s="28">
        <f>+D387*0.05</f>
        <v>276.7525</v>
      </c>
      <c r="F387" s="79">
        <f t="shared" ref="F387:F389" si="150">SUM(B387:D387)</f>
        <v>5535.05</v>
      </c>
      <c r="G387" s="79">
        <f t="shared" ref="G387:G389" si="151">AVERAGE(F384:F387)</f>
        <v>6185.1699999999992</v>
      </c>
      <c r="H387" s="79">
        <f t="shared" ref="H387:H389" si="152">AVERAGE(F375:F387)</f>
        <v>6080.2823076923078</v>
      </c>
      <c r="I387" s="79">
        <f>AVERAGE($F$343:F387)</f>
        <v>6675.6731111111103</v>
      </c>
      <c r="J387" s="84">
        <f>+I387*52</f>
        <v>347135.00177777774</v>
      </c>
      <c r="K387" s="79">
        <f t="shared" ref="K387:K389" si="153">SUM(F336:F387)</f>
        <v>339908.89</v>
      </c>
      <c r="L387" s="85">
        <f t="shared" ref="L387:L389" si="154">+I387/6</f>
        <v>1112.6121851851851</v>
      </c>
      <c r="M387" s="79">
        <f t="shared" si="147"/>
        <v>1786775.8059666669</v>
      </c>
    </row>
    <row r="388" spans="1:13" x14ac:dyDescent="0.2">
      <c r="A388" s="83">
        <v>42323</v>
      </c>
      <c r="B388" s="79">
        <v>0</v>
      </c>
      <c r="C388" s="79">
        <v>0</v>
      </c>
      <c r="D388" s="106">
        <v>7704.68</v>
      </c>
      <c r="E388" s="28">
        <f t="shared" ref="E388" si="155">+D388*0.05</f>
        <v>385.23400000000004</v>
      </c>
      <c r="F388" s="79">
        <f t="shared" si="150"/>
        <v>7704.68</v>
      </c>
      <c r="G388" s="79">
        <f t="shared" si="151"/>
        <v>6654.6724999999997</v>
      </c>
      <c r="H388" s="79">
        <f t="shared" si="152"/>
        <v>6245.3038461538472</v>
      </c>
      <c r="I388" s="79">
        <f>AVERAGE($F$343:F388)</f>
        <v>6698.0428260869558</v>
      </c>
      <c r="J388" s="84">
        <f t="shared" ref="J388" si="156">+I388*52</f>
        <v>348298.22695652168</v>
      </c>
      <c r="K388" s="79">
        <f t="shared" si="153"/>
        <v>343061.01999999996</v>
      </c>
      <c r="L388" s="85">
        <f t="shared" si="154"/>
        <v>1116.3404710144926</v>
      </c>
      <c r="M388" s="79">
        <f t="shared" si="147"/>
        <v>1794480.4859666668</v>
      </c>
    </row>
    <row r="389" spans="1:13" x14ac:dyDescent="0.2">
      <c r="A389" s="83">
        <v>42330</v>
      </c>
      <c r="B389" s="79">
        <v>0</v>
      </c>
      <c r="C389" s="79">
        <v>0</v>
      </c>
      <c r="D389" s="86">
        <v>4852.57</v>
      </c>
      <c r="E389" s="28">
        <f>+D389*0.05</f>
        <v>242.6285</v>
      </c>
      <c r="F389" s="79">
        <f t="shared" si="150"/>
        <v>4852.57</v>
      </c>
      <c r="G389" s="79">
        <f t="shared" si="151"/>
        <v>5903.0150000000003</v>
      </c>
      <c r="H389" s="79">
        <f t="shared" si="152"/>
        <v>6255.8084615384623</v>
      </c>
      <c r="I389" s="79">
        <f>AVERAGE($F$343:F389)</f>
        <v>6658.7774468085099</v>
      </c>
      <c r="J389" s="84">
        <f>+I389*52</f>
        <v>346256.42723404249</v>
      </c>
      <c r="K389" s="91">
        <f t="shared" si="153"/>
        <v>343973.36</v>
      </c>
      <c r="L389" s="85">
        <f t="shared" si="154"/>
        <v>1109.7962411347517</v>
      </c>
      <c r="M389" s="79">
        <f t="shared" si="147"/>
        <v>1799333.0559666669</v>
      </c>
    </row>
    <row r="390" spans="1:13" x14ac:dyDescent="0.2">
      <c r="A390" s="83">
        <v>42337</v>
      </c>
      <c r="B390" s="79">
        <v>0</v>
      </c>
      <c r="C390" s="79">
        <v>0</v>
      </c>
      <c r="D390" s="86">
        <v>4630.99</v>
      </c>
      <c r="E390" s="28">
        <f>+D390*0.05</f>
        <v>231.54949999999999</v>
      </c>
      <c r="F390" s="79">
        <f t="shared" ref="F390:F392" si="157">SUM(B390:D390)</f>
        <v>4630.99</v>
      </c>
      <c r="G390" s="79">
        <f t="shared" ref="G390:G392" si="158">AVERAGE(F387:F390)</f>
        <v>5680.8225000000002</v>
      </c>
      <c r="H390" s="79">
        <f t="shared" ref="H390:H392" si="159">AVERAGE(F378:F390)</f>
        <v>6218.5446153846151</v>
      </c>
      <c r="I390" s="79">
        <f>AVERAGE($F$343:F390)</f>
        <v>6616.5318749999997</v>
      </c>
      <c r="J390" s="84">
        <f>+I390*52</f>
        <v>344059.65749999997</v>
      </c>
      <c r="K390" s="79">
        <f t="shared" ref="K390:K392" si="160">SUM(F339:F390)</f>
        <v>342347.83</v>
      </c>
      <c r="L390" s="85">
        <f t="shared" ref="L390:L392" si="161">+I390/6</f>
        <v>1102.7553124999999</v>
      </c>
      <c r="M390" s="79">
        <f t="shared" si="147"/>
        <v>1803964.0459666669</v>
      </c>
    </row>
    <row r="391" spans="1:13" x14ac:dyDescent="0.2">
      <c r="A391" s="83">
        <v>42344</v>
      </c>
      <c r="B391" s="79">
        <v>0</v>
      </c>
      <c r="C391" s="79">
        <v>0</v>
      </c>
      <c r="D391" s="86">
        <v>6200.42</v>
      </c>
      <c r="E391" s="28">
        <f t="shared" ref="E391" si="162">+D391*0.05</f>
        <v>310.02100000000002</v>
      </c>
      <c r="F391" s="79">
        <f t="shared" si="157"/>
        <v>6200.42</v>
      </c>
      <c r="G391" s="79">
        <f t="shared" si="158"/>
        <v>5847.1649999999991</v>
      </c>
      <c r="H391" s="79">
        <f t="shared" si="159"/>
        <v>6286.2976923076922</v>
      </c>
      <c r="I391" s="79">
        <f>AVERAGE($F$343:F391)</f>
        <v>6608.0397959183665</v>
      </c>
      <c r="J391" s="84">
        <f t="shared" ref="J391" si="163">+I391*52</f>
        <v>343618.06938775507</v>
      </c>
      <c r="K391" s="79">
        <f t="shared" si="160"/>
        <v>341529.31000000006</v>
      </c>
      <c r="L391" s="85">
        <f t="shared" si="161"/>
        <v>1101.3399659863944</v>
      </c>
      <c r="M391" s="79">
        <f t="shared" si="147"/>
        <v>1810164.4659666668</v>
      </c>
    </row>
    <row r="392" spans="1:13" x14ac:dyDescent="0.2">
      <c r="A392" s="83">
        <v>42351</v>
      </c>
      <c r="B392" s="79">
        <v>0</v>
      </c>
      <c r="C392" s="79">
        <v>0</v>
      </c>
      <c r="D392" s="86">
        <v>4532.8100000000004</v>
      </c>
      <c r="E392" s="28">
        <f>+D392*0.05</f>
        <v>226.64050000000003</v>
      </c>
      <c r="F392" s="79">
        <f t="shared" si="157"/>
        <v>4532.8100000000004</v>
      </c>
      <c r="G392" s="79">
        <f t="shared" si="158"/>
        <v>5054.1975000000002</v>
      </c>
      <c r="H392" s="79">
        <f t="shared" si="159"/>
        <v>6198.74</v>
      </c>
      <c r="I392" s="79">
        <f>AVERAGE($F$343:F392)</f>
        <v>6566.5351999999993</v>
      </c>
      <c r="J392" s="84">
        <f>+I392*52</f>
        <v>341459.83039999998</v>
      </c>
      <c r="K392" s="91">
        <f t="shared" si="160"/>
        <v>338983.4</v>
      </c>
      <c r="L392" s="85">
        <f t="shared" si="161"/>
        <v>1094.4225333333331</v>
      </c>
      <c r="M392" s="79">
        <f t="shared" si="147"/>
        <v>1814697.2759666669</v>
      </c>
    </row>
    <row r="393" spans="1:13" x14ac:dyDescent="0.2">
      <c r="A393" s="83">
        <v>42358</v>
      </c>
      <c r="B393" s="79">
        <v>0</v>
      </c>
      <c r="C393" s="79">
        <v>0</v>
      </c>
      <c r="D393" s="86">
        <v>5887.06</v>
      </c>
      <c r="E393" s="28">
        <f>+D393*0.05</f>
        <v>294.35300000000001</v>
      </c>
      <c r="F393" s="79">
        <f t="shared" ref="F393:F395" si="164">SUM(B393:D393)</f>
        <v>5887.06</v>
      </c>
      <c r="G393" s="79">
        <f t="shared" ref="G393:G395" si="165">AVERAGE(F390:F393)</f>
        <v>5312.8200000000006</v>
      </c>
      <c r="H393" s="79">
        <f t="shared" ref="H393:H395" si="166">AVERAGE(F381:F393)</f>
        <v>6085.5123076923064</v>
      </c>
      <c r="I393" s="79">
        <f>AVERAGE($F$343:F393)</f>
        <v>6553.2121568627445</v>
      </c>
      <c r="J393" s="84">
        <f>+I393*52</f>
        <v>340767.03215686273</v>
      </c>
      <c r="K393" s="79">
        <f t="shared" ref="K393:K395" si="167">SUM(F342:F393)</f>
        <v>338206.16</v>
      </c>
      <c r="L393" s="85">
        <f t="shared" ref="L393:L395" si="168">+I393/6</f>
        <v>1092.2020261437908</v>
      </c>
      <c r="M393" s="79">
        <f t="shared" si="147"/>
        <v>1820584.3359666669</v>
      </c>
    </row>
    <row r="394" spans="1:13" x14ac:dyDescent="0.2">
      <c r="A394" s="83">
        <v>42365</v>
      </c>
      <c r="B394" s="79">
        <v>0</v>
      </c>
      <c r="C394" s="79">
        <v>0</v>
      </c>
      <c r="D394" s="86">
        <v>4824.41</v>
      </c>
      <c r="E394" s="28">
        <f t="shared" ref="E394" si="169">+D394*0.05</f>
        <v>241.22050000000002</v>
      </c>
      <c r="F394" s="79">
        <f t="shared" si="164"/>
        <v>4824.41</v>
      </c>
      <c r="G394" s="79">
        <f t="shared" si="165"/>
        <v>5361.1750000000002</v>
      </c>
      <c r="H394" s="79">
        <f t="shared" si="166"/>
        <v>5983.2407692307697</v>
      </c>
      <c r="I394" s="79">
        <f>AVERAGE($F$343:F394)</f>
        <v>6519.9659615384599</v>
      </c>
      <c r="J394" s="84">
        <f t="shared" ref="J394" si="170">+I394*52</f>
        <v>339038.22999999992</v>
      </c>
      <c r="K394" s="79">
        <f t="shared" si="167"/>
        <v>339038.22999999992</v>
      </c>
      <c r="L394" s="85">
        <f t="shared" si="168"/>
        <v>1086.6609935897434</v>
      </c>
      <c r="M394" s="79">
        <f t="shared" si="147"/>
        <v>1825408.7459666668</v>
      </c>
    </row>
    <row r="395" spans="1:13" x14ac:dyDescent="0.2">
      <c r="A395" s="83">
        <v>42372</v>
      </c>
      <c r="B395" s="79">
        <v>0</v>
      </c>
      <c r="C395" s="79">
        <v>0</v>
      </c>
      <c r="D395" s="86">
        <v>2803.55</v>
      </c>
      <c r="E395" s="28">
        <f>+D395*0.05</f>
        <v>140.17750000000001</v>
      </c>
      <c r="F395" s="79">
        <f t="shared" si="164"/>
        <v>2803.55</v>
      </c>
      <c r="G395" s="79">
        <f t="shared" si="165"/>
        <v>4511.9575000000004</v>
      </c>
      <c r="H395" s="79">
        <f t="shared" si="166"/>
        <v>5683.5523076923073</v>
      </c>
      <c r="I395" s="79">
        <f>AVERAGE($F$395:F395)</f>
        <v>2803.55</v>
      </c>
      <c r="J395" s="84">
        <f>+I395*52</f>
        <v>145784.6</v>
      </c>
      <c r="K395" s="92">
        <f t="shared" si="167"/>
        <v>338900.29999999993</v>
      </c>
      <c r="L395" s="113">
        <f t="shared" si="168"/>
        <v>467.25833333333338</v>
      </c>
      <c r="M395" s="79">
        <f t="shared" si="147"/>
        <v>1828212.2959666669</v>
      </c>
    </row>
    <row r="396" spans="1:13" x14ac:dyDescent="0.2">
      <c r="A396" s="83">
        <v>42379</v>
      </c>
      <c r="B396" s="79">
        <v>0</v>
      </c>
      <c r="C396" s="79">
        <v>0</v>
      </c>
      <c r="D396" s="86">
        <v>3798.51</v>
      </c>
      <c r="E396" s="28">
        <f>+D396*0.05</f>
        <v>189.92550000000003</v>
      </c>
      <c r="F396" s="79">
        <f t="shared" ref="F396:F397" si="171">SUM(B396:D396)</f>
        <v>3798.51</v>
      </c>
      <c r="G396" s="79">
        <f t="shared" ref="G396:G397" si="172">AVERAGE(F393:F396)</f>
        <v>4328.3824999999997</v>
      </c>
      <c r="H396" s="79">
        <f t="shared" ref="H396:H397" si="173">AVERAGE(F384:F396)</f>
        <v>5382.744615384614</v>
      </c>
      <c r="I396" s="79">
        <f>AVERAGE($F$395:F396)</f>
        <v>3301.03</v>
      </c>
      <c r="J396" s="84">
        <f>+I396*52</f>
        <v>171653.56</v>
      </c>
      <c r="K396" s="79">
        <f t="shared" ref="K396:K397" si="174">SUM(F345:F396)</f>
        <v>339843.10999999993</v>
      </c>
      <c r="L396" s="85">
        <f t="shared" ref="L396:L397" si="175">+I396/6</f>
        <v>550.17166666666674</v>
      </c>
      <c r="M396" s="79">
        <f t="shared" si="147"/>
        <v>1832010.8059666669</v>
      </c>
    </row>
    <row r="397" spans="1:13" x14ac:dyDescent="0.2">
      <c r="A397" s="83">
        <v>42386</v>
      </c>
      <c r="B397" s="79">
        <v>0</v>
      </c>
      <c r="C397" s="79">
        <v>0</v>
      </c>
      <c r="D397" s="86">
        <v>4134.6099999999997</v>
      </c>
      <c r="E397" s="28">
        <f t="shared" ref="E397" si="176">+D397*0.05</f>
        <v>206.73050000000001</v>
      </c>
      <c r="F397" s="79">
        <f t="shared" si="171"/>
        <v>4134.6099999999997</v>
      </c>
      <c r="G397" s="79">
        <f t="shared" si="172"/>
        <v>3890.2700000000004</v>
      </c>
      <c r="H397" s="79">
        <f t="shared" si="173"/>
        <v>5252.5861538461531</v>
      </c>
      <c r="I397" s="79">
        <f>AVERAGE($F$395:F397)</f>
        <v>3578.89</v>
      </c>
      <c r="J397" s="84">
        <f t="shared" ref="J397" si="177">+I397*52</f>
        <v>186102.28</v>
      </c>
      <c r="K397" s="79">
        <f t="shared" si="174"/>
        <v>337803.58999999991</v>
      </c>
      <c r="L397" s="85">
        <f t="shared" si="175"/>
        <v>596.48166666666668</v>
      </c>
      <c r="M397" s="79">
        <f t="shared" si="147"/>
        <v>1836145.415966667</v>
      </c>
    </row>
    <row r="398" spans="1:13" x14ac:dyDescent="0.2">
      <c r="A398" s="83">
        <v>42393</v>
      </c>
      <c r="B398" s="79">
        <v>0</v>
      </c>
      <c r="C398" s="79">
        <v>0</v>
      </c>
      <c r="D398" s="86">
        <v>4464.68</v>
      </c>
      <c r="E398" s="28">
        <f>+D398*0.05</f>
        <v>223.23400000000004</v>
      </c>
      <c r="F398" s="79">
        <f t="shared" ref="F398:F400" si="178">SUM(B398:D398)</f>
        <v>4464.68</v>
      </c>
      <c r="G398" s="79">
        <f t="shared" ref="G398:G400" si="179">AVERAGE(F395:F398)</f>
        <v>3800.3375000000001</v>
      </c>
      <c r="H398" s="79">
        <f t="shared" ref="H398:H400" si="180">AVERAGE(F386:F398)</f>
        <v>4991.4692307692312</v>
      </c>
      <c r="I398" s="79">
        <f>AVERAGE($F$395:F398)</f>
        <v>3800.3375000000001</v>
      </c>
      <c r="J398" s="84">
        <f>+I398*52</f>
        <v>197617.55000000002</v>
      </c>
      <c r="K398" s="79">
        <f t="shared" ref="K398:K400" si="181">SUM(F347:F398)</f>
        <v>334776.34999999992</v>
      </c>
      <c r="L398" s="85">
        <f t="shared" ref="L398:L400" si="182">+I398/6</f>
        <v>633.38958333333335</v>
      </c>
      <c r="M398" s="79">
        <f t="shared" si="147"/>
        <v>1840610.0959666669</v>
      </c>
    </row>
    <row r="399" spans="1:13" x14ac:dyDescent="0.2">
      <c r="A399" s="83">
        <v>42400</v>
      </c>
      <c r="B399" s="79">
        <v>0</v>
      </c>
      <c r="C399" s="79">
        <v>0</v>
      </c>
      <c r="D399" s="86">
        <v>8737.3700000000008</v>
      </c>
      <c r="E399" s="28">
        <f>+D399*0.05</f>
        <v>436.86850000000004</v>
      </c>
      <c r="F399" s="79">
        <f t="shared" si="178"/>
        <v>8737.3700000000008</v>
      </c>
      <c r="G399" s="79">
        <f t="shared" si="179"/>
        <v>5283.7924999999996</v>
      </c>
      <c r="H399" s="79">
        <f t="shared" si="180"/>
        <v>5238.9776923076915</v>
      </c>
      <c r="I399" s="79">
        <f>AVERAGE($F$395:F399)</f>
        <v>4787.7440000000006</v>
      </c>
      <c r="J399" s="84">
        <f>+I399*52</f>
        <v>248962.68800000002</v>
      </c>
      <c r="K399" s="79">
        <f t="shared" si="181"/>
        <v>337678.02999999991</v>
      </c>
      <c r="L399" s="85">
        <f t="shared" si="182"/>
        <v>797.95733333333339</v>
      </c>
      <c r="M399" s="79">
        <f t="shared" si="147"/>
        <v>1849347.465966667</v>
      </c>
    </row>
    <row r="400" spans="1:13" x14ac:dyDescent="0.2">
      <c r="A400" s="83">
        <v>42407</v>
      </c>
      <c r="B400" s="79">
        <v>0</v>
      </c>
      <c r="C400" s="79">
        <v>0</v>
      </c>
      <c r="D400" s="86">
        <v>8271.18</v>
      </c>
      <c r="E400" s="28">
        <f t="shared" ref="E400" si="183">+D400*0.05</f>
        <v>413.55900000000003</v>
      </c>
      <c r="F400" s="79">
        <f t="shared" si="178"/>
        <v>8271.18</v>
      </c>
      <c r="G400" s="79">
        <f t="shared" si="179"/>
        <v>6401.9600000000009</v>
      </c>
      <c r="H400" s="79">
        <f t="shared" si="180"/>
        <v>5449.4492307692317</v>
      </c>
      <c r="I400" s="79">
        <f>AVERAGE($F$395:F400)</f>
        <v>5368.3166666666666</v>
      </c>
      <c r="J400" s="84">
        <f t="shared" ref="J400" si="184">+I400*52</f>
        <v>279152.46666666667</v>
      </c>
      <c r="K400" s="79">
        <f t="shared" si="181"/>
        <v>337744.09999999992</v>
      </c>
      <c r="L400" s="85">
        <f t="shared" si="182"/>
        <v>894.71944444444443</v>
      </c>
      <c r="M400" s="79">
        <f t="shared" si="147"/>
        <v>1857618.645966667</v>
      </c>
    </row>
    <row r="401" spans="1:13" x14ac:dyDescent="0.2">
      <c r="A401" s="83">
        <v>42414</v>
      </c>
      <c r="B401" s="79">
        <v>0</v>
      </c>
      <c r="C401" s="79">
        <v>0</v>
      </c>
      <c r="D401" s="86">
        <v>10388.799999999999</v>
      </c>
      <c r="E401" s="28">
        <f>+D401*0.05</f>
        <v>519.43999999999994</v>
      </c>
      <c r="F401" s="79">
        <f t="shared" ref="F401:F403" si="185">SUM(B401:D401)</f>
        <v>10388.799999999999</v>
      </c>
      <c r="G401" s="79">
        <f t="shared" ref="G401:G403" si="186">AVERAGE(F398:F401)</f>
        <v>7965.5075000000006</v>
      </c>
      <c r="H401" s="79">
        <f t="shared" ref="H401:H403" si="187">AVERAGE(F389:F401)</f>
        <v>5655.92</v>
      </c>
      <c r="I401" s="79">
        <f>AVERAGE($F$395:F401)</f>
        <v>6085.528571428571</v>
      </c>
      <c r="J401" s="84">
        <f>+I401*52</f>
        <v>316447.48571428569</v>
      </c>
      <c r="K401" s="79">
        <f t="shared" ref="K401:K403" si="188">SUM(F350:F401)</f>
        <v>338285.73999999993</v>
      </c>
      <c r="L401" s="85">
        <f t="shared" ref="L401:L403" si="189">+I401/6</f>
        <v>1014.2547619047618</v>
      </c>
      <c r="M401" s="79">
        <f t="shared" si="147"/>
        <v>1868007.445966667</v>
      </c>
    </row>
    <row r="402" spans="1:13" x14ac:dyDescent="0.2">
      <c r="A402" s="83">
        <v>42421</v>
      </c>
      <c r="B402" s="79">
        <v>0</v>
      </c>
      <c r="C402" s="79">
        <v>0</v>
      </c>
      <c r="D402" s="86">
        <v>13042.35</v>
      </c>
      <c r="E402" s="28">
        <f>+D402*0.05</f>
        <v>652.11750000000006</v>
      </c>
      <c r="F402" s="79">
        <f t="shared" si="185"/>
        <v>13042.35</v>
      </c>
      <c r="G402" s="79">
        <f t="shared" si="186"/>
        <v>10109.925000000001</v>
      </c>
      <c r="H402" s="79">
        <f t="shared" si="187"/>
        <v>6285.9030769230776</v>
      </c>
      <c r="I402" s="79">
        <f>AVERAGE($F$395:F402)</f>
        <v>6955.1312499999995</v>
      </c>
      <c r="J402" s="84">
        <f>+I402*52</f>
        <v>361666.82499999995</v>
      </c>
      <c r="K402" s="79">
        <f t="shared" si="188"/>
        <v>343083.99999999988</v>
      </c>
      <c r="L402" s="85">
        <f t="shared" si="189"/>
        <v>1159.1885416666667</v>
      </c>
      <c r="M402" s="79">
        <f t="shared" si="147"/>
        <v>1881049.7959666671</v>
      </c>
    </row>
    <row r="403" spans="1:13" x14ac:dyDescent="0.2">
      <c r="A403" s="83">
        <v>42428</v>
      </c>
      <c r="B403" s="79">
        <v>0</v>
      </c>
      <c r="C403" s="79">
        <v>0</v>
      </c>
      <c r="D403" s="86">
        <v>10153.09</v>
      </c>
      <c r="E403" s="28">
        <f t="shared" ref="E403" si="190">+D403*0.05</f>
        <v>507.65450000000004</v>
      </c>
      <c r="F403" s="79">
        <f t="shared" si="185"/>
        <v>10153.09</v>
      </c>
      <c r="G403" s="79">
        <f t="shared" si="186"/>
        <v>10463.855</v>
      </c>
      <c r="H403" s="79">
        <f t="shared" si="187"/>
        <v>6710.6800000000012</v>
      </c>
      <c r="I403" s="79">
        <f>AVERAGE($F$395:F403)</f>
        <v>7310.46</v>
      </c>
      <c r="J403" s="84">
        <f t="shared" ref="J403" si="191">+I403*52</f>
        <v>380143.92</v>
      </c>
      <c r="K403" s="79">
        <f t="shared" si="188"/>
        <v>344708.65999999992</v>
      </c>
      <c r="L403" s="85">
        <f t="shared" si="189"/>
        <v>1218.4100000000001</v>
      </c>
      <c r="M403" s="79">
        <f t="shared" si="147"/>
        <v>1891202.8859666672</v>
      </c>
    </row>
    <row r="404" spans="1:13" x14ac:dyDescent="0.2">
      <c r="A404" s="83">
        <v>42435</v>
      </c>
      <c r="B404" s="79">
        <v>0</v>
      </c>
      <c r="C404" s="79">
        <v>0</v>
      </c>
      <c r="D404" s="86">
        <v>11609.89</v>
      </c>
      <c r="E404" s="28">
        <f>+D404*0.05</f>
        <v>580.49450000000002</v>
      </c>
      <c r="F404" s="79">
        <f t="shared" ref="F404:F406" si="192">SUM(B404:D404)</f>
        <v>11609.89</v>
      </c>
      <c r="G404" s="79">
        <f t="shared" ref="G404:G406" si="193">AVERAGE(F401:F404)</f>
        <v>11298.532500000001</v>
      </c>
      <c r="H404" s="79">
        <f t="shared" ref="H404:H406" si="194">AVERAGE(F392:F404)</f>
        <v>7126.7930769230779</v>
      </c>
      <c r="I404" s="79">
        <f>AVERAGE($F$395:F404)</f>
        <v>7740.4030000000002</v>
      </c>
      <c r="J404" s="84">
        <f>+I404*52</f>
        <v>402500.95600000001</v>
      </c>
      <c r="K404" s="79">
        <f t="shared" ref="K404:K406" si="195">SUM(F353:F404)</f>
        <v>349230.88999999996</v>
      </c>
      <c r="L404" s="85">
        <f t="shared" ref="L404:L406" si="196">+I404/6</f>
        <v>1290.0671666666667</v>
      </c>
      <c r="M404" s="79">
        <f t="shared" si="147"/>
        <v>1902812.7759666671</v>
      </c>
    </row>
    <row r="405" spans="1:13" x14ac:dyDescent="0.2">
      <c r="A405" s="83">
        <v>42442</v>
      </c>
      <c r="B405" s="79">
        <v>0</v>
      </c>
      <c r="C405" s="79">
        <v>0</v>
      </c>
      <c r="D405" s="86">
        <v>7042.15</v>
      </c>
      <c r="E405" s="28">
        <f>+D405*0.05</f>
        <v>352.10750000000002</v>
      </c>
      <c r="F405" s="79">
        <f t="shared" si="192"/>
        <v>7042.15</v>
      </c>
      <c r="G405" s="79">
        <f t="shared" si="193"/>
        <v>10461.870000000001</v>
      </c>
      <c r="H405" s="79">
        <f t="shared" si="194"/>
        <v>7319.8192307692307</v>
      </c>
      <c r="I405" s="79">
        <f>AVERAGE($F$395:F405)</f>
        <v>7676.9254545454542</v>
      </c>
      <c r="J405" s="84">
        <f>+I405*52</f>
        <v>399200.1236363636</v>
      </c>
      <c r="K405" s="79">
        <f t="shared" si="195"/>
        <v>349935.74000000005</v>
      </c>
      <c r="L405" s="85">
        <f t="shared" si="196"/>
        <v>1279.4875757575758</v>
      </c>
      <c r="M405" s="79">
        <f t="shared" si="147"/>
        <v>1909854.925966667</v>
      </c>
    </row>
    <row r="406" spans="1:13" x14ac:dyDescent="0.2">
      <c r="A406" s="83">
        <v>42449</v>
      </c>
      <c r="B406" s="79">
        <v>0</v>
      </c>
      <c r="C406" s="79">
        <v>0</v>
      </c>
      <c r="D406" s="86">
        <v>8312.92</v>
      </c>
      <c r="E406" s="28">
        <f t="shared" ref="E406" si="197">+D406*0.05</f>
        <v>415.64600000000002</v>
      </c>
      <c r="F406" s="79">
        <f t="shared" si="192"/>
        <v>8312.92</v>
      </c>
      <c r="G406" s="79">
        <f t="shared" si="193"/>
        <v>9279.5124999999989</v>
      </c>
      <c r="H406" s="79">
        <f t="shared" si="194"/>
        <v>7506.4238461538462</v>
      </c>
      <c r="I406" s="79">
        <f>AVERAGE($F$395:F406)</f>
        <v>7729.9249999999993</v>
      </c>
      <c r="J406" s="84">
        <f t="shared" ref="J406" si="198">+I406*52</f>
        <v>401956.1</v>
      </c>
      <c r="K406" s="79">
        <f t="shared" si="195"/>
        <v>351694.74</v>
      </c>
      <c r="L406" s="85">
        <f t="shared" si="196"/>
        <v>1288.3208333333332</v>
      </c>
      <c r="M406" s="79">
        <f t="shared" si="147"/>
        <v>1918167.8459666669</v>
      </c>
    </row>
    <row r="407" spans="1:13" x14ac:dyDescent="0.2">
      <c r="A407" s="83">
        <v>42456</v>
      </c>
      <c r="B407" s="79">
        <v>0</v>
      </c>
      <c r="C407" s="79">
        <v>0</v>
      </c>
      <c r="D407" s="86">
        <v>10656.46</v>
      </c>
      <c r="E407" s="28">
        <f>+D407*0.05</f>
        <v>532.82299999999998</v>
      </c>
      <c r="F407" s="79">
        <f t="shared" ref="F407:F409" si="199">SUM(B407:D407)</f>
        <v>10656.46</v>
      </c>
      <c r="G407" s="79">
        <f t="shared" ref="G407:G409" si="200">AVERAGE(F404:F407)</f>
        <v>9405.3549999999996</v>
      </c>
      <c r="H407" s="79">
        <f t="shared" ref="H407:H409" si="201">AVERAGE(F395:F407)</f>
        <v>7955.043076923077</v>
      </c>
      <c r="I407" s="79">
        <f>AVERAGE($F$395:F407)</f>
        <v>7955.043076923077</v>
      </c>
      <c r="J407" s="84">
        <f>+I407*52</f>
        <v>413662.24</v>
      </c>
      <c r="K407" s="79">
        <f t="shared" ref="K407:K409" si="202">SUM(F356:F407)</f>
        <v>352009.93000000005</v>
      </c>
      <c r="L407" s="85">
        <f t="shared" ref="L407:L409" si="203">+I407/6</f>
        <v>1325.8405128205129</v>
      </c>
      <c r="M407" s="79">
        <f t="shared" si="147"/>
        <v>1928824.3059666669</v>
      </c>
    </row>
    <row r="408" spans="1:13" x14ac:dyDescent="0.2">
      <c r="A408" s="83">
        <v>42463</v>
      </c>
      <c r="B408" s="79">
        <v>0</v>
      </c>
      <c r="C408" s="79">
        <v>0</v>
      </c>
      <c r="D408" s="86">
        <v>9572.7999999999993</v>
      </c>
      <c r="E408" s="28">
        <f>+D408*0.05</f>
        <v>478.64</v>
      </c>
      <c r="F408" s="79">
        <f t="shared" si="199"/>
        <v>9572.7999999999993</v>
      </c>
      <c r="G408" s="79">
        <f t="shared" si="200"/>
        <v>8896.0825000000004</v>
      </c>
      <c r="H408" s="79">
        <f t="shared" si="201"/>
        <v>8475.7546153846142</v>
      </c>
      <c r="I408" s="79">
        <f>AVERAGE($F$395:F408)</f>
        <v>8070.5971428571429</v>
      </c>
      <c r="J408" s="84">
        <f>+I408*52</f>
        <v>419671.05142857146</v>
      </c>
      <c r="K408" s="79">
        <f t="shared" si="202"/>
        <v>351921.57000000007</v>
      </c>
      <c r="L408" s="85">
        <f t="shared" si="203"/>
        <v>1345.0995238095238</v>
      </c>
      <c r="M408" s="79">
        <f t="shared" si="147"/>
        <v>1938397.1059666669</v>
      </c>
    </row>
    <row r="409" spans="1:13" x14ac:dyDescent="0.2">
      <c r="A409" s="83">
        <v>42470</v>
      </c>
      <c r="B409" s="79">
        <v>0</v>
      </c>
      <c r="C409" s="79">
        <v>0</v>
      </c>
      <c r="D409" s="86">
        <v>7482.36</v>
      </c>
      <c r="E409" s="28">
        <f t="shared" ref="E409" si="204">+D409*0.05</f>
        <v>374.11799999999999</v>
      </c>
      <c r="F409" s="79">
        <f t="shared" si="199"/>
        <v>7482.36</v>
      </c>
      <c r="G409" s="79">
        <f t="shared" si="200"/>
        <v>9006.1349999999984</v>
      </c>
      <c r="H409" s="79">
        <f t="shared" si="201"/>
        <v>8759.127692307693</v>
      </c>
      <c r="I409" s="79">
        <f>AVERAGE($F$395:F409)</f>
        <v>8031.3813333333337</v>
      </c>
      <c r="J409" s="84">
        <f t="shared" ref="J409" si="205">+I409*52</f>
        <v>417631.82933333336</v>
      </c>
      <c r="K409" s="79">
        <f t="shared" si="202"/>
        <v>350265.56</v>
      </c>
      <c r="L409" s="85">
        <f t="shared" si="203"/>
        <v>1338.5635555555557</v>
      </c>
      <c r="M409" s="79">
        <f t="shared" si="147"/>
        <v>1945879.465966667</v>
      </c>
    </row>
    <row r="410" spans="1:13" x14ac:dyDescent="0.2">
      <c r="A410" s="83">
        <v>42477</v>
      </c>
      <c r="B410" s="79">
        <v>0</v>
      </c>
      <c r="C410" s="79">
        <v>0</v>
      </c>
      <c r="D410" s="86">
        <v>11251.2</v>
      </c>
      <c r="E410" s="28">
        <f>+D410*0.05</f>
        <v>562.56000000000006</v>
      </c>
      <c r="F410" s="79">
        <f t="shared" ref="F410:F412" si="206">SUM(B410:D410)</f>
        <v>11251.2</v>
      </c>
      <c r="G410" s="79">
        <f t="shared" ref="G410:G412" si="207">AVERAGE(F407:F410)</f>
        <v>9740.7049999999999</v>
      </c>
      <c r="H410" s="79">
        <f t="shared" ref="H410:H412" si="208">AVERAGE(F398:F410)</f>
        <v>9306.5576923076915</v>
      </c>
      <c r="I410" s="79">
        <f>AVERAGE($F$395:F410)</f>
        <v>8232.6200000000008</v>
      </c>
      <c r="J410" s="84">
        <f>+I410*52</f>
        <v>428096.24000000005</v>
      </c>
      <c r="K410" s="79">
        <f t="shared" ref="K410:K412" si="209">SUM(F359:F410)</f>
        <v>354859.2</v>
      </c>
      <c r="L410" s="85">
        <f t="shared" ref="L410:L412" si="210">+I410/6</f>
        <v>1372.1033333333335</v>
      </c>
      <c r="M410" s="79">
        <f t="shared" si="147"/>
        <v>1957130.665966667</v>
      </c>
    </row>
    <row r="411" spans="1:13" x14ac:dyDescent="0.2">
      <c r="A411" s="83">
        <v>42484</v>
      </c>
      <c r="B411" s="79">
        <v>0</v>
      </c>
      <c r="C411" s="79">
        <v>0</v>
      </c>
      <c r="D411" s="86">
        <v>4726.13</v>
      </c>
      <c r="E411" s="28">
        <f>+D411*0.05</f>
        <v>236.30650000000003</v>
      </c>
      <c r="F411" s="79">
        <f t="shared" si="206"/>
        <v>4726.13</v>
      </c>
      <c r="G411" s="79">
        <f t="shared" si="207"/>
        <v>8258.1224999999995</v>
      </c>
      <c r="H411" s="79">
        <f t="shared" si="208"/>
        <v>9326.6692307692301</v>
      </c>
      <c r="I411" s="79">
        <f>AVERAGE($F$395:F411)</f>
        <v>8026.355882352942</v>
      </c>
      <c r="J411" s="84">
        <f>+I411*52</f>
        <v>417370.505882353</v>
      </c>
      <c r="K411" s="79">
        <f t="shared" si="209"/>
        <v>352601.74000000005</v>
      </c>
      <c r="L411" s="85">
        <f t="shared" si="210"/>
        <v>1337.725980392157</v>
      </c>
      <c r="M411" s="79">
        <f t="shared" si="147"/>
        <v>1961856.7959666669</v>
      </c>
    </row>
    <row r="412" spans="1:13" x14ac:dyDescent="0.2">
      <c r="A412" s="83">
        <v>42491</v>
      </c>
      <c r="B412" s="79">
        <v>0</v>
      </c>
      <c r="C412" s="79">
        <v>0</v>
      </c>
      <c r="D412" s="86">
        <v>7367.92</v>
      </c>
      <c r="E412" s="28">
        <f t="shared" ref="E412" si="211">+D412*0.05</f>
        <v>368.39600000000002</v>
      </c>
      <c r="F412" s="79">
        <f t="shared" si="206"/>
        <v>7367.92</v>
      </c>
      <c r="G412" s="79">
        <f t="shared" si="207"/>
        <v>7706.9025000000001</v>
      </c>
      <c r="H412" s="79">
        <f t="shared" si="208"/>
        <v>9221.3269230769238</v>
      </c>
      <c r="I412" s="79">
        <f>AVERAGE($F$395:F412)</f>
        <v>7989.7761111111131</v>
      </c>
      <c r="J412" s="84">
        <f t="shared" ref="J412" si="212">+I412*52</f>
        <v>415468.35777777788</v>
      </c>
      <c r="K412" s="79">
        <f t="shared" si="209"/>
        <v>349111.11000000004</v>
      </c>
      <c r="L412" s="85">
        <f t="shared" si="210"/>
        <v>1331.6293518518521</v>
      </c>
      <c r="M412" s="79">
        <f t="shared" si="147"/>
        <v>1969224.7159666668</v>
      </c>
    </row>
    <row r="413" spans="1:13" x14ac:dyDescent="0.2">
      <c r="A413" s="83">
        <v>42498</v>
      </c>
      <c r="B413" s="79">
        <v>0</v>
      </c>
      <c r="C413" s="79">
        <v>0</v>
      </c>
      <c r="D413" s="86">
        <v>5958.98</v>
      </c>
      <c r="E413" s="28">
        <f>+D413*0.05</f>
        <v>297.94900000000001</v>
      </c>
      <c r="F413" s="79">
        <f t="shared" ref="F413:F415" si="213">SUM(B413:D413)</f>
        <v>5958.98</v>
      </c>
      <c r="G413" s="79">
        <f t="shared" ref="G413:G415" si="214">AVERAGE(F410:F413)</f>
        <v>7326.0574999999999</v>
      </c>
      <c r="H413" s="79">
        <f t="shared" ref="H413:H415" si="215">AVERAGE(F401:F413)</f>
        <v>9043.4653846153851</v>
      </c>
      <c r="I413" s="79">
        <f>AVERAGE($F$395:F413)</f>
        <v>7882.8921052631604</v>
      </c>
      <c r="J413" s="84">
        <f>+I413*52</f>
        <v>409910.38947368436</v>
      </c>
      <c r="K413" s="79">
        <f t="shared" ref="K413:K415" si="216">SUM(F362:F413)</f>
        <v>347943.7</v>
      </c>
      <c r="L413" s="85">
        <f t="shared" ref="L413:L415" si="217">+I413/6</f>
        <v>1313.8153508771934</v>
      </c>
      <c r="M413" s="79">
        <f t="shared" si="147"/>
        <v>1975183.6959666668</v>
      </c>
    </row>
    <row r="414" spans="1:13" x14ac:dyDescent="0.2">
      <c r="A414" s="83">
        <v>42505</v>
      </c>
      <c r="B414" s="79">
        <v>0</v>
      </c>
      <c r="C414" s="79">
        <v>0</v>
      </c>
      <c r="D414" s="86">
        <v>4300.2299999999996</v>
      </c>
      <c r="E414" s="28">
        <f>+D414*0.05</f>
        <v>215.01149999999998</v>
      </c>
      <c r="F414" s="79">
        <f t="shared" si="213"/>
        <v>4300.2299999999996</v>
      </c>
      <c r="G414" s="79">
        <f t="shared" si="214"/>
        <v>5588.3149999999996</v>
      </c>
      <c r="H414" s="79">
        <f t="shared" si="215"/>
        <v>8575.1138461538467</v>
      </c>
      <c r="I414" s="79">
        <f>AVERAGE($F$395:F414)</f>
        <v>7703.7590000000027</v>
      </c>
      <c r="J414" s="84">
        <f>+I414*52</f>
        <v>400595.46800000017</v>
      </c>
      <c r="K414" s="79">
        <f t="shared" si="216"/>
        <v>345980.19999999995</v>
      </c>
      <c r="L414" s="85">
        <f t="shared" si="217"/>
        <v>1283.9598333333338</v>
      </c>
      <c r="M414" s="79">
        <f t="shared" si="147"/>
        <v>1979483.9259666668</v>
      </c>
    </row>
    <row r="415" spans="1:13" x14ac:dyDescent="0.2">
      <c r="A415" s="83">
        <v>42512</v>
      </c>
      <c r="B415" s="79">
        <v>0</v>
      </c>
      <c r="C415" s="79">
        <v>0</v>
      </c>
      <c r="D415" s="86">
        <v>6825.11</v>
      </c>
      <c r="E415" s="28">
        <f t="shared" ref="E415" si="218">+D415*0.05</f>
        <v>341.25549999999998</v>
      </c>
      <c r="F415" s="79">
        <f t="shared" si="213"/>
        <v>6825.11</v>
      </c>
      <c r="G415" s="79">
        <f t="shared" si="214"/>
        <v>6113.0599999999995</v>
      </c>
      <c r="H415" s="79">
        <f t="shared" si="215"/>
        <v>8096.8646153846148</v>
      </c>
      <c r="I415" s="79">
        <f>AVERAGE($F$395:F415)</f>
        <v>7661.9185714285732</v>
      </c>
      <c r="J415" s="84">
        <f t="shared" ref="J415" si="219">+I415*52</f>
        <v>398419.76571428578</v>
      </c>
      <c r="K415" s="79">
        <f t="shared" si="216"/>
        <v>347264.16999999993</v>
      </c>
      <c r="L415" s="85">
        <f t="shared" si="217"/>
        <v>1276.9864285714289</v>
      </c>
      <c r="M415" s="79">
        <f t="shared" si="147"/>
        <v>1986309.0359666669</v>
      </c>
    </row>
    <row r="416" spans="1:13" x14ac:dyDescent="0.2">
      <c r="A416" s="83">
        <v>42519</v>
      </c>
      <c r="B416" s="79">
        <v>0</v>
      </c>
      <c r="C416" s="79">
        <v>0</v>
      </c>
      <c r="D416" s="86">
        <v>6651.16</v>
      </c>
      <c r="E416" s="28">
        <f>+D416*0.05</f>
        <v>332.55799999999999</v>
      </c>
      <c r="F416" s="79">
        <f t="shared" ref="F416:F418" si="220">SUM(B416:D416)</f>
        <v>6651.16</v>
      </c>
      <c r="G416" s="79">
        <f t="shared" ref="G416:G418" si="221">AVERAGE(F413:F416)</f>
        <v>5933.87</v>
      </c>
      <c r="H416" s="79">
        <f t="shared" ref="H416:H418" si="222">AVERAGE(F404:F416)</f>
        <v>7827.4853846153846</v>
      </c>
      <c r="I416" s="79">
        <f>AVERAGE($F$395:F416)</f>
        <v>7615.9750000000022</v>
      </c>
      <c r="J416" s="84">
        <f>+I416*52</f>
        <v>396030.70000000013</v>
      </c>
      <c r="K416" s="79">
        <f t="shared" ref="K416:K418" si="223">SUM(F365:F416)</f>
        <v>342610.70999999985</v>
      </c>
      <c r="L416" s="85">
        <f t="shared" ref="L416:L418" si="224">+I416/6</f>
        <v>1269.3291666666671</v>
      </c>
      <c r="M416" s="79">
        <f t="shared" si="147"/>
        <v>1992960.1959666668</v>
      </c>
    </row>
    <row r="417" spans="1:13" x14ac:dyDescent="0.2">
      <c r="A417" s="83">
        <v>42526</v>
      </c>
      <c r="B417" s="79">
        <v>0</v>
      </c>
      <c r="C417" s="79">
        <v>0</v>
      </c>
      <c r="D417" s="86">
        <v>5284.88</v>
      </c>
      <c r="E417" s="28">
        <f>+D417*0.05</f>
        <v>264.24400000000003</v>
      </c>
      <c r="F417" s="79">
        <f t="shared" si="220"/>
        <v>5284.88</v>
      </c>
      <c r="G417" s="79">
        <f t="shared" si="221"/>
        <v>5765.3450000000003</v>
      </c>
      <c r="H417" s="79">
        <f t="shared" si="222"/>
        <v>7340.9461538461537</v>
      </c>
      <c r="I417" s="79">
        <f>AVERAGE($F$395:F417)</f>
        <v>7514.6230434782628</v>
      </c>
      <c r="J417" s="84">
        <f>+I417*52</f>
        <v>390760.39826086967</v>
      </c>
      <c r="K417" s="79">
        <f t="shared" si="223"/>
        <v>342482.22999999992</v>
      </c>
      <c r="L417" s="85">
        <f t="shared" si="224"/>
        <v>1252.4371739130438</v>
      </c>
      <c r="M417" s="79">
        <f t="shared" si="147"/>
        <v>1998245.0759666667</v>
      </c>
    </row>
    <row r="418" spans="1:13" x14ac:dyDescent="0.2">
      <c r="A418" s="83">
        <v>42533</v>
      </c>
      <c r="B418" s="79">
        <v>0</v>
      </c>
      <c r="C418" s="79">
        <v>0</v>
      </c>
      <c r="D418" s="86">
        <v>5133.1099999999997</v>
      </c>
      <c r="E418" s="28">
        <f t="shared" ref="E418" si="225">+D418*0.05</f>
        <v>256.65550000000002</v>
      </c>
      <c r="F418" s="79">
        <f t="shared" si="220"/>
        <v>5133.1099999999997</v>
      </c>
      <c r="G418" s="79">
        <f t="shared" si="221"/>
        <v>5973.5650000000005</v>
      </c>
      <c r="H418" s="79">
        <f t="shared" si="222"/>
        <v>7194.0969230769224</v>
      </c>
      <c r="I418" s="79">
        <f>AVERAGE($F$395:F418)</f>
        <v>7415.3933333333343</v>
      </c>
      <c r="J418" s="84">
        <f t="shared" ref="J418" si="226">+I418*52</f>
        <v>385600.45333333337</v>
      </c>
      <c r="K418" s="79">
        <f t="shared" si="223"/>
        <v>342562.11999999988</v>
      </c>
      <c r="L418" s="85">
        <f t="shared" si="224"/>
        <v>1235.8988888888891</v>
      </c>
      <c r="M418" s="79">
        <f t="shared" si="147"/>
        <v>2003378.1859666668</v>
      </c>
    </row>
    <row r="419" spans="1:13" x14ac:dyDescent="0.2">
      <c r="A419" s="83">
        <v>42540</v>
      </c>
      <c r="B419" s="79">
        <v>0</v>
      </c>
      <c r="C419" s="79">
        <v>0</v>
      </c>
      <c r="D419" s="86">
        <v>7161.44</v>
      </c>
      <c r="E419" s="28">
        <f>+D419*0.05</f>
        <v>358.072</v>
      </c>
      <c r="F419" s="79">
        <f t="shared" ref="F419:F421" si="227">SUM(B419:D419)</f>
        <v>7161.44</v>
      </c>
      <c r="G419" s="79">
        <f t="shared" ref="G419:G421" si="228">AVERAGE(F416:F419)</f>
        <v>6057.6475</v>
      </c>
      <c r="H419" s="79">
        <f t="shared" ref="H419:H421" si="229">AVERAGE(F407:F419)</f>
        <v>7105.5215384615385</v>
      </c>
      <c r="I419" s="79">
        <f>AVERAGE($F$395:F419)</f>
        <v>7405.235200000001</v>
      </c>
      <c r="J419" s="84">
        <f>+I419*52</f>
        <v>385072.23040000006</v>
      </c>
      <c r="K419" s="79">
        <f t="shared" ref="K419:K421" si="230">SUM(F368:F419)</f>
        <v>343149.7699999999</v>
      </c>
      <c r="L419" s="85">
        <f t="shared" ref="L419:L421" si="231">+I419/6</f>
        <v>1234.2058666666669</v>
      </c>
      <c r="M419" s="79">
        <f t="shared" si="147"/>
        <v>2010539.6259666667</v>
      </c>
    </row>
    <row r="420" spans="1:13" x14ac:dyDescent="0.2">
      <c r="A420" s="83">
        <v>42547</v>
      </c>
      <c r="B420" s="79">
        <v>0</v>
      </c>
      <c r="C420" s="79">
        <v>0</v>
      </c>
      <c r="D420" s="86">
        <v>5773.74</v>
      </c>
      <c r="E420" s="28">
        <f>+D420*0.05</f>
        <v>288.68700000000001</v>
      </c>
      <c r="F420" s="79">
        <f t="shared" si="227"/>
        <v>5773.74</v>
      </c>
      <c r="G420" s="79">
        <f t="shared" si="228"/>
        <v>5838.2924999999996</v>
      </c>
      <c r="H420" s="79">
        <f t="shared" si="229"/>
        <v>6729.9276923076932</v>
      </c>
      <c r="I420" s="79">
        <f>AVERAGE($F$395:F420)</f>
        <v>7342.4853846153856</v>
      </c>
      <c r="J420" s="84">
        <f>+I420*52</f>
        <v>381809.24000000005</v>
      </c>
      <c r="K420" s="79">
        <f t="shared" si="230"/>
        <v>343212.20999999985</v>
      </c>
      <c r="L420" s="85">
        <f t="shared" si="231"/>
        <v>1223.7475641025642</v>
      </c>
      <c r="M420" s="79">
        <f t="shared" si="147"/>
        <v>2016313.3659666667</v>
      </c>
    </row>
    <row r="421" spans="1:13" x14ac:dyDescent="0.2">
      <c r="A421" s="83">
        <v>42554</v>
      </c>
      <c r="B421" s="79">
        <v>0</v>
      </c>
      <c r="C421" s="79">
        <v>0</v>
      </c>
      <c r="D421" s="86">
        <v>5557.68</v>
      </c>
      <c r="E421" s="28">
        <f t="shared" ref="E421" si="232">+D421*0.05</f>
        <v>277.88400000000001</v>
      </c>
      <c r="F421" s="79">
        <f t="shared" si="227"/>
        <v>5557.68</v>
      </c>
      <c r="G421" s="79">
        <f t="shared" si="228"/>
        <v>5906.4925000000003</v>
      </c>
      <c r="H421" s="79">
        <f t="shared" si="229"/>
        <v>6421.0723076923077</v>
      </c>
      <c r="I421" s="79">
        <f>AVERAGE($F$395:F421)</f>
        <v>7276.3814814814823</v>
      </c>
      <c r="J421" s="84">
        <f t="shared" ref="J421" si="233">+I421*52</f>
        <v>378371.83703703707</v>
      </c>
      <c r="K421" s="79">
        <f t="shared" si="230"/>
        <v>343503.95999999985</v>
      </c>
      <c r="L421" s="85">
        <f t="shared" si="231"/>
        <v>1212.7302469135805</v>
      </c>
      <c r="M421" s="79">
        <f t="shared" si="147"/>
        <v>2021871.0459666667</v>
      </c>
    </row>
    <row r="422" spans="1:13" x14ac:dyDescent="0.2">
      <c r="A422" s="83">
        <v>42561</v>
      </c>
      <c r="B422" s="79">
        <v>0</v>
      </c>
      <c r="C422" s="79">
        <v>0</v>
      </c>
      <c r="D422" s="86">
        <v>5381.94</v>
      </c>
      <c r="E422" s="28">
        <f>+D422*0.05</f>
        <v>269.09699999999998</v>
      </c>
      <c r="F422" s="79">
        <f t="shared" ref="F422:F424" si="234">SUM(B422:D422)</f>
        <v>5381.94</v>
      </c>
      <c r="G422" s="79">
        <f t="shared" ref="G422:G424" si="235">AVERAGE(F419:F422)</f>
        <v>5968.7</v>
      </c>
      <c r="H422" s="79">
        <f t="shared" ref="H422:H424" si="236">AVERAGE(F410:F422)</f>
        <v>6259.5015384615381</v>
      </c>
      <c r="I422" s="79">
        <f>AVERAGE($F$395:F422)</f>
        <v>7208.7228571428577</v>
      </c>
      <c r="J422" s="84">
        <f>+I422*52</f>
        <v>374853.58857142861</v>
      </c>
      <c r="K422" s="79">
        <f t="shared" ref="K422:K424" si="237">SUM(F371:F422)</f>
        <v>343701.37999999983</v>
      </c>
      <c r="L422" s="85">
        <f t="shared" ref="L422:L424" si="238">+I422/6</f>
        <v>1201.4538095238097</v>
      </c>
      <c r="M422" s="79">
        <f t="shared" si="147"/>
        <v>2027252.9859666666</v>
      </c>
    </row>
    <row r="423" spans="1:13" x14ac:dyDescent="0.2">
      <c r="A423" s="83">
        <v>42568</v>
      </c>
      <c r="B423" s="79">
        <v>0</v>
      </c>
      <c r="C423" s="79">
        <v>0</v>
      </c>
      <c r="D423" s="86">
        <v>8895.4</v>
      </c>
      <c r="E423" s="28">
        <f>+D423*0.05</f>
        <v>444.77</v>
      </c>
      <c r="F423" s="79">
        <f t="shared" si="234"/>
        <v>8895.4</v>
      </c>
      <c r="G423" s="79">
        <f t="shared" si="235"/>
        <v>6402.1900000000005</v>
      </c>
      <c r="H423" s="79">
        <f t="shared" si="236"/>
        <v>6078.286153846153</v>
      </c>
      <c r="I423" s="79">
        <f>AVERAGE($F$395:F423)</f>
        <v>7266.8841379310352</v>
      </c>
      <c r="J423" s="84">
        <f>+I423*52</f>
        <v>377877.9751724138</v>
      </c>
      <c r="K423" s="79">
        <f t="shared" si="237"/>
        <v>346346.42999999982</v>
      </c>
      <c r="L423" s="85">
        <f t="shared" si="238"/>
        <v>1211.1473563218392</v>
      </c>
      <c r="M423" s="79">
        <f t="shared" si="147"/>
        <v>2036148.3859666665</v>
      </c>
    </row>
    <row r="424" spans="1:13" x14ac:dyDescent="0.2">
      <c r="A424" s="83">
        <v>42575</v>
      </c>
      <c r="B424" s="79">
        <v>0</v>
      </c>
      <c r="C424" s="79">
        <v>0</v>
      </c>
      <c r="D424" s="106">
        <v>6266.31</v>
      </c>
      <c r="E424" s="28">
        <f t="shared" ref="E424" si="239">+D424*0.05</f>
        <v>313.31550000000004</v>
      </c>
      <c r="F424" s="79">
        <f t="shared" si="234"/>
        <v>6266.31</v>
      </c>
      <c r="G424" s="79">
        <f t="shared" si="235"/>
        <v>6525.3324999999995</v>
      </c>
      <c r="H424" s="79">
        <f t="shared" si="236"/>
        <v>6196.7615384615383</v>
      </c>
      <c r="I424" s="79">
        <f>AVERAGE($F$395:F424)</f>
        <v>7233.5316666666668</v>
      </c>
      <c r="J424" s="84">
        <f t="shared" ref="J424" si="240">+I424*52</f>
        <v>376143.64666666667</v>
      </c>
      <c r="K424" s="79">
        <f t="shared" si="237"/>
        <v>346897.64999999979</v>
      </c>
      <c r="L424" s="85">
        <f t="shared" si="238"/>
        <v>1205.588611111111</v>
      </c>
      <c r="M424" s="79">
        <f t="shared" si="147"/>
        <v>2042414.6959666666</v>
      </c>
    </row>
    <row r="425" spans="1:13" x14ac:dyDescent="0.2">
      <c r="A425" s="83">
        <v>42582</v>
      </c>
      <c r="B425" s="79">
        <v>0</v>
      </c>
      <c r="C425" s="79">
        <v>0</v>
      </c>
      <c r="D425" s="86">
        <v>5314.59</v>
      </c>
      <c r="E425" s="28">
        <f>+D425*0.05</f>
        <v>265.72950000000003</v>
      </c>
      <c r="F425" s="79">
        <f t="shared" ref="F425:F427" si="241">SUM(B425:D425)</f>
        <v>5314.59</v>
      </c>
      <c r="G425" s="79">
        <f t="shared" ref="G425:G427" si="242">AVERAGE(F422:F425)</f>
        <v>6464.56</v>
      </c>
      <c r="H425" s="79">
        <f t="shared" ref="H425:H427" si="243">AVERAGE(F413:F425)</f>
        <v>6038.8130769230766</v>
      </c>
      <c r="I425" s="79">
        <f>AVERAGE($F$395:F425)</f>
        <v>7171.630322580645</v>
      </c>
      <c r="J425" s="84">
        <f>+I425*52</f>
        <v>372924.77677419357</v>
      </c>
      <c r="K425" s="79">
        <f t="shared" ref="K425:K427" si="244">SUM(F374:F425)</f>
        <v>346049.21999999991</v>
      </c>
      <c r="L425" s="85">
        <f t="shared" ref="L425:L427" si="245">+I425/6</f>
        <v>1195.2717204301075</v>
      </c>
      <c r="M425" s="79">
        <f t="shared" si="147"/>
        <v>2047729.2859666666</v>
      </c>
    </row>
    <row r="426" spans="1:13" x14ac:dyDescent="0.2">
      <c r="A426" s="83">
        <v>42589</v>
      </c>
      <c r="B426" s="79">
        <v>0</v>
      </c>
      <c r="C426" s="79">
        <v>0</v>
      </c>
      <c r="D426" s="86">
        <v>7073.25</v>
      </c>
      <c r="E426" s="28">
        <f>+D426*0.05</f>
        <v>353.66250000000002</v>
      </c>
      <c r="F426" s="79">
        <f t="shared" si="241"/>
        <v>7073.25</v>
      </c>
      <c r="G426" s="79">
        <f t="shared" si="242"/>
        <v>6887.3874999999998</v>
      </c>
      <c r="H426" s="79">
        <f t="shared" si="243"/>
        <v>6124.5261538461536</v>
      </c>
      <c r="I426" s="79">
        <f>AVERAGE($F$395:F426)</f>
        <v>7168.5559375000003</v>
      </c>
      <c r="J426" s="84">
        <f>+I426*52</f>
        <v>372764.90875</v>
      </c>
      <c r="K426" s="79">
        <f t="shared" si="244"/>
        <v>347070.39999999997</v>
      </c>
      <c r="L426" s="85">
        <f t="shared" si="245"/>
        <v>1194.7593229166666</v>
      </c>
      <c r="M426" s="79">
        <f t="shared" si="147"/>
        <v>2054802.5359666666</v>
      </c>
    </row>
    <row r="427" spans="1:13" x14ac:dyDescent="0.2">
      <c r="A427" s="83">
        <v>42596</v>
      </c>
      <c r="B427" s="79">
        <v>0</v>
      </c>
      <c r="C427" s="79">
        <v>0</v>
      </c>
      <c r="D427" s="86">
        <v>5864.93</v>
      </c>
      <c r="E427" s="28">
        <f t="shared" ref="E427" si="246">+D427*0.05</f>
        <v>293.24650000000003</v>
      </c>
      <c r="F427" s="79">
        <f t="shared" si="241"/>
        <v>5864.93</v>
      </c>
      <c r="G427" s="79">
        <f t="shared" si="242"/>
        <v>6129.77</v>
      </c>
      <c r="H427" s="79">
        <f t="shared" si="243"/>
        <v>6244.8876923076932</v>
      </c>
      <c r="I427" s="79">
        <f>AVERAGE($F$395:F427)</f>
        <v>7129.0521212121212</v>
      </c>
      <c r="J427" s="84">
        <f t="shared" ref="J427" si="247">+I427*52</f>
        <v>370710.71030303033</v>
      </c>
      <c r="K427" s="79">
        <f t="shared" si="244"/>
        <v>347375.93</v>
      </c>
      <c r="L427" s="85">
        <f t="shared" si="245"/>
        <v>1188.1753535353535</v>
      </c>
      <c r="M427" s="79">
        <f t="shared" si="147"/>
        <v>2060667.4659666666</v>
      </c>
    </row>
    <row r="428" spans="1:13" x14ac:dyDescent="0.2">
      <c r="A428" s="83">
        <v>42603</v>
      </c>
      <c r="B428" s="79">
        <v>0</v>
      </c>
      <c r="C428" s="79">
        <v>0</v>
      </c>
      <c r="D428" s="86">
        <v>5163.34</v>
      </c>
      <c r="E428" s="28">
        <f>+D428*0.05</f>
        <v>258.16700000000003</v>
      </c>
      <c r="F428" s="79">
        <f t="shared" ref="F428:F430" si="248">SUM(B428:D428)</f>
        <v>5163.34</v>
      </c>
      <c r="G428" s="79">
        <f t="shared" ref="G428:G430" si="249">AVERAGE(F425:F428)</f>
        <v>5854.0275000000001</v>
      </c>
      <c r="H428" s="79">
        <f t="shared" ref="H428:H430" si="250">AVERAGE(F416:F428)</f>
        <v>6117.0592307692295</v>
      </c>
      <c r="I428" s="79">
        <f>AVERAGE($F$395:F428)</f>
        <v>7071.237058823529</v>
      </c>
      <c r="J428" s="84">
        <f>+I428*52</f>
        <v>367704.32705882349</v>
      </c>
      <c r="K428" s="79">
        <f t="shared" ref="K428:K430" si="251">SUM(F377:F428)</f>
        <v>347823.26</v>
      </c>
      <c r="L428" s="85">
        <f t="shared" ref="L428:L430" si="252">+I428/6</f>
        <v>1178.5395098039214</v>
      </c>
      <c r="M428" s="79">
        <f t="shared" si="147"/>
        <v>2065830.8059666667</v>
      </c>
    </row>
    <row r="429" spans="1:13" x14ac:dyDescent="0.2">
      <c r="A429" s="83">
        <v>42610</v>
      </c>
      <c r="B429" s="79">
        <v>0</v>
      </c>
      <c r="C429" s="79">
        <v>0</v>
      </c>
      <c r="D429" s="86">
        <v>5845.83</v>
      </c>
      <c r="E429" s="28">
        <f>+D429*0.05</f>
        <v>292.29149999999998</v>
      </c>
      <c r="F429" s="79">
        <f t="shared" si="248"/>
        <v>5845.83</v>
      </c>
      <c r="G429" s="79">
        <f t="shared" si="249"/>
        <v>5986.8374999999996</v>
      </c>
      <c r="H429" s="79">
        <f t="shared" si="250"/>
        <v>6055.1107692307687</v>
      </c>
      <c r="I429" s="79">
        <f>AVERAGE($F$395:F429)</f>
        <v>7036.225428571428</v>
      </c>
      <c r="J429" s="84">
        <f>+I429*52</f>
        <v>365883.72228571423</v>
      </c>
      <c r="K429" s="79">
        <f t="shared" si="251"/>
        <v>348553.67000000004</v>
      </c>
      <c r="L429" s="85">
        <f t="shared" si="252"/>
        <v>1172.704238095238</v>
      </c>
      <c r="M429" s="79">
        <f t="shared" si="147"/>
        <v>2071676.6359666667</v>
      </c>
    </row>
    <row r="430" spans="1:13" x14ac:dyDescent="0.2">
      <c r="A430" s="83">
        <v>42617</v>
      </c>
      <c r="B430" s="79">
        <v>0</v>
      </c>
      <c r="C430" s="79">
        <v>0</v>
      </c>
      <c r="D430" s="86">
        <v>5928.3</v>
      </c>
      <c r="E430" s="28">
        <f t="shared" ref="E430" si="253">+D430*0.05</f>
        <v>296.41500000000002</v>
      </c>
      <c r="F430" s="79">
        <f t="shared" si="248"/>
        <v>5928.3</v>
      </c>
      <c r="G430" s="79">
        <f t="shared" si="249"/>
        <v>5700.5999999999995</v>
      </c>
      <c r="H430" s="79">
        <f t="shared" si="250"/>
        <v>6104.6046153846155</v>
      </c>
      <c r="I430" s="79">
        <f>AVERAGE($F$395:F430)</f>
        <v>7005.4497222222217</v>
      </c>
      <c r="J430" s="84">
        <f t="shared" ref="J430" si="254">+I430*52</f>
        <v>364283.38555555552</v>
      </c>
      <c r="K430" s="79">
        <f t="shared" si="251"/>
        <v>349162.34</v>
      </c>
      <c r="L430" s="85">
        <f t="shared" si="252"/>
        <v>1167.5749537037036</v>
      </c>
      <c r="M430" s="79">
        <f t="shared" si="147"/>
        <v>2077604.9359666668</v>
      </c>
    </row>
    <row r="431" spans="1:13" x14ac:dyDescent="0.2">
      <c r="A431" s="83">
        <v>42624</v>
      </c>
      <c r="B431" s="79">
        <v>0</v>
      </c>
      <c r="C431" s="79">
        <v>0</v>
      </c>
      <c r="D431" s="86">
        <v>5385.49</v>
      </c>
      <c r="E431" s="28">
        <f>+D431*0.05</f>
        <v>269.27449999999999</v>
      </c>
      <c r="F431" s="79">
        <f t="shared" ref="F431:F433" si="255">SUM(B431:D431)</f>
        <v>5385.49</v>
      </c>
      <c r="G431" s="79">
        <f t="shared" ref="G431:G433" si="256">AVERAGE(F428:F431)</f>
        <v>5580.74</v>
      </c>
      <c r="H431" s="79">
        <f t="shared" ref="H431:H433" si="257">AVERAGE(F419:F431)</f>
        <v>6124.0184615384624</v>
      </c>
      <c r="I431" s="79">
        <f>AVERAGE($F$395:F431)</f>
        <v>6961.6670270270261</v>
      </c>
      <c r="J431" s="84">
        <f>+I431*52</f>
        <v>362006.68540540535</v>
      </c>
      <c r="K431" s="79">
        <f t="shared" ref="K431:K433" si="258">SUM(F380:F431)</f>
        <v>348876.77</v>
      </c>
      <c r="L431" s="85">
        <f t="shared" ref="L431:L433" si="259">+I431/6</f>
        <v>1160.2778378378378</v>
      </c>
      <c r="M431" s="79">
        <f t="shared" si="147"/>
        <v>2082990.4259666668</v>
      </c>
    </row>
    <row r="432" spans="1:13" x14ac:dyDescent="0.2">
      <c r="A432" s="83">
        <v>42631</v>
      </c>
      <c r="B432" s="79">
        <v>0</v>
      </c>
      <c r="C432" s="79">
        <v>0</v>
      </c>
      <c r="D432" s="86">
        <v>5864.97</v>
      </c>
      <c r="E432" s="28">
        <f>+D432*0.05</f>
        <v>293.24850000000004</v>
      </c>
      <c r="F432" s="79">
        <f t="shared" si="255"/>
        <v>5864.97</v>
      </c>
      <c r="G432" s="79">
        <f t="shared" si="256"/>
        <v>5756.1475000000009</v>
      </c>
      <c r="H432" s="79">
        <f t="shared" si="257"/>
        <v>6024.2900000000018</v>
      </c>
      <c r="I432" s="79">
        <f>AVERAGE($F$395:F432)</f>
        <v>6932.8065789473676</v>
      </c>
      <c r="J432" s="84">
        <f>+I432*52</f>
        <v>360505.94210526312</v>
      </c>
      <c r="K432" s="79">
        <f t="shared" si="258"/>
        <v>347382.72</v>
      </c>
      <c r="L432" s="85">
        <f t="shared" si="259"/>
        <v>1155.4677631578945</v>
      </c>
      <c r="M432" s="79">
        <f t="shared" si="147"/>
        <v>2088855.3959666668</v>
      </c>
    </row>
    <row r="433" spans="1:13" x14ac:dyDescent="0.2">
      <c r="A433" s="83">
        <v>42638</v>
      </c>
      <c r="B433" s="79">
        <v>0</v>
      </c>
      <c r="C433" s="79">
        <v>0</v>
      </c>
      <c r="D433" s="86">
        <v>4641.8</v>
      </c>
      <c r="E433" s="28">
        <f t="shared" ref="E433" si="260">+D433*0.05</f>
        <v>232.09000000000003</v>
      </c>
      <c r="F433" s="79">
        <f t="shared" si="255"/>
        <v>4641.8</v>
      </c>
      <c r="G433" s="79">
        <f t="shared" si="256"/>
        <v>5455.14</v>
      </c>
      <c r="H433" s="79">
        <f t="shared" si="257"/>
        <v>5937.2176923076931</v>
      </c>
      <c r="I433" s="79">
        <f>AVERAGE($F$395:F433)</f>
        <v>6874.0628205128196</v>
      </c>
      <c r="J433" s="84">
        <f t="shared" ref="J433" si="261">+I433*52</f>
        <v>357451.2666666666</v>
      </c>
      <c r="K433" s="79">
        <f t="shared" si="258"/>
        <v>345870.57999999996</v>
      </c>
      <c r="L433" s="85">
        <f t="shared" si="259"/>
        <v>1145.6771367521367</v>
      </c>
      <c r="M433" s="79">
        <f t="shared" ref="M433:M435" si="262">+M432+F433</f>
        <v>2093497.1959666668</v>
      </c>
    </row>
    <row r="434" spans="1:13" x14ac:dyDescent="0.2">
      <c r="A434" s="83">
        <v>42645</v>
      </c>
      <c r="B434" s="79">
        <v>0</v>
      </c>
      <c r="C434" s="79">
        <v>0</v>
      </c>
      <c r="D434" s="86">
        <v>10588.64</v>
      </c>
      <c r="E434" s="28">
        <f>+D434*0.05</f>
        <v>529.43200000000002</v>
      </c>
      <c r="F434" s="79">
        <f t="shared" ref="F434:F436" si="263">SUM(B434:D434)</f>
        <v>10588.64</v>
      </c>
      <c r="G434" s="79">
        <f t="shared" ref="G434:G436" si="264">AVERAGE(F431:F434)</f>
        <v>6620.2249999999995</v>
      </c>
      <c r="H434" s="79">
        <f t="shared" ref="H434:H436" si="265">AVERAGE(F422:F434)</f>
        <v>6324.2146153846161</v>
      </c>
      <c r="I434" s="79">
        <f>AVERAGE($F$395:F434)</f>
        <v>6966.9272499999988</v>
      </c>
      <c r="J434" s="84">
        <f>+I434*52</f>
        <v>362280.21699999995</v>
      </c>
      <c r="K434" s="79">
        <f t="shared" ref="K434:K436" si="266">SUM(F383:F434)</f>
        <v>349759.72000000003</v>
      </c>
      <c r="L434" s="85">
        <f t="shared" ref="L434:L436" si="267">+I434/6</f>
        <v>1161.1545416666665</v>
      </c>
      <c r="M434" s="79">
        <f t="shared" si="262"/>
        <v>2104085.8359666667</v>
      </c>
    </row>
    <row r="435" spans="1:13" x14ac:dyDescent="0.2">
      <c r="A435" s="83">
        <v>42652</v>
      </c>
      <c r="B435" s="79">
        <v>0</v>
      </c>
      <c r="C435" s="79">
        <v>0</v>
      </c>
      <c r="D435" s="86">
        <v>8249.1</v>
      </c>
      <c r="E435" s="28">
        <f>+D435*0.05</f>
        <v>412.45500000000004</v>
      </c>
      <c r="F435" s="79">
        <f t="shared" si="263"/>
        <v>8249.1</v>
      </c>
      <c r="G435" s="79">
        <f t="shared" si="264"/>
        <v>7336.1275000000005</v>
      </c>
      <c r="H435" s="79">
        <f t="shared" si="265"/>
        <v>6544.7653846153844</v>
      </c>
      <c r="I435" s="79">
        <f>AVERAGE($F$395:F435)</f>
        <v>6998.1997560975597</v>
      </c>
      <c r="J435" s="84">
        <f>+I435*52</f>
        <v>363906.38731707312</v>
      </c>
      <c r="K435" s="79">
        <f t="shared" si="266"/>
        <v>350299.80999999994</v>
      </c>
      <c r="L435" s="85">
        <f t="shared" si="267"/>
        <v>1166.3666260162599</v>
      </c>
      <c r="M435" s="79">
        <f t="shared" si="262"/>
        <v>2112334.9359666668</v>
      </c>
    </row>
    <row r="436" spans="1:13" x14ac:dyDescent="0.2">
      <c r="A436" s="83">
        <v>42659</v>
      </c>
      <c r="B436" s="79">
        <v>0</v>
      </c>
      <c r="C436" s="79">
        <v>0</v>
      </c>
      <c r="D436" s="106">
        <v>6326.93</v>
      </c>
      <c r="E436" s="28">
        <f t="shared" ref="E436" si="268">+D436*0.05</f>
        <v>316.34650000000005</v>
      </c>
      <c r="F436" s="79">
        <f t="shared" si="263"/>
        <v>6326.93</v>
      </c>
      <c r="G436" s="79">
        <f t="shared" si="264"/>
        <v>7451.6175000000003</v>
      </c>
      <c r="H436" s="79">
        <f t="shared" si="265"/>
        <v>6347.1907692307705</v>
      </c>
      <c r="I436" s="79">
        <f>AVERAGE($F$395:F436)</f>
        <v>6982.217142857141</v>
      </c>
      <c r="J436" s="84">
        <f t="shared" ref="J436" si="269">+I436*52</f>
        <v>363075.29142857133</v>
      </c>
      <c r="K436" s="79">
        <f t="shared" si="266"/>
        <v>350800.06999999995</v>
      </c>
      <c r="L436" s="85">
        <f t="shared" si="267"/>
        <v>1163.7028571428568</v>
      </c>
      <c r="M436" s="79">
        <f t="shared" ref="M436:M438" si="270">+M435+F436</f>
        <v>2118661.865966667</v>
      </c>
    </row>
    <row r="437" spans="1:13" x14ac:dyDescent="0.2">
      <c r="A437" s="83">
        <v>42666</v>
      </c>
      <c r="B437" s="79">
        <v>0</v>
      </c>
      <c r="C437" s="79">
        <v>0</v>
      </c>
      <c r="D437" s="86">
        <v>6993.47</v>
      </c>
      <c r="E437" s="28">
        <f>+D437*0.05</f>
        <v>349.67350000000005</v>
      </c>
      <c r="F437" s="79">
        <f t="shared" ref="F437:F439" si="271">SUM(B437:D437)</f>
        <v>6993.47</v>
      </c>
      <c r="G437" s="79">
        <f t="shared" ref="G437:G439" si="272">AVERAGE(F434:F437)</f>
        <v>8039.5349999999999</v>
      </c>
      <c r="H437" s="79">
        <f t="shared" ref="H437:H439" si="273">AVERAGE(F425:F437)</f>
        <v>6403.1261538461549</v>
      </c>
      <c r="I437" s="79">
        <f>AVERAGE($F$395:F437)</f>
        <v>6982.4788372092999</v>
      </c>
      <c r="J437" s="84">
        <f>+I437*52</f>
        <v>363088.89953488362</v>
      </c>
      <c r="K437" s="79">
        <f t="shared" ref="K437:K439" si="274">SUM(F386:F437)</f>
        <v>349934.33999999997</v>
      </c>
      <c r="L437" s="85">
        <f t="shared" ref="L437:L439" si="275">+I437/6</f>
        <v>1163.7464728682166</v>
      </c>
      <c r="M437" s="79">
        <f t="shared" si="270"/>
        <v>2125655.3359666672</v>
      </c>
    </row>
    <row r="438" spans="1:13" x14ac:dyDescent="0.2">
      <c r="A438" s="83">
        <v>42673</v>
      </c>
      <c r="B438" s="79">
        <v>0</v>
      </c>
      <c r="C438" s="79">
        <v>0</v>
      </c>
      <c r="D438" s="86">
        <v>7186</v>
      </c>
      <c r="E438" s="28">
        <f>+D438*0.05</f>
        <v>359.3</v>
      </c>
      <c r="F438" s="79">
        <f t="shared" si="271"/>
        <v>7186</v>
      </c>
      <c r="G438" s="79">
        <f t="shared" si="272"/>
        <v>7188.875</v>
      </c>
      <c r="H438" s="79">
        <f t="shared" si="273"/>
        <v>6547.0807692307699</v>
      </c>
      <c r="I438" s="79">
        <f>AVERAGE($F$395:F438)</f>
        <v>6987.1043181818159</v>
      </c>
      <c r="J438" s="84">
        <f>+I438*52</f>
        <v>363329.42454545444</v>
      </c>
      <c r="K438" s="79">
        <f t="shared" si="274"/>
        <v>351600.5799999999</v>
      </c>
      <c r="L438" s="85">
        <f t="shared" si="275"/>
        <v>1164.517386363636</v>
      </c>
      <c r="M438" s="79">
        <f t="shared" si="270"/>
        <v>2132841.3359666672</v>
      </c>
    </row>
    <row r="439" spans="1:13" x14ac:dyDescent="0.2">
      <c r="A439" s="83">
        <v>42680</v>
      </c>
      <c r="B439" s="79">
        <v>0</v>
      </c>
      <c r="C439" s="79">
        <v>0</v>
      </c>
      <c r="D439" s="86">
        <v>7512.53</v>
      </c>
      <c r="E439" s="28">
        <f t="shared" ref="E439" si="276">+D439*0.05</f>
        <v>375.62650000000002</v>
      </c>
      <c r="F439" s="79">
        <f t="shared" si="271"/>
        <v>7512.53</v>
      </c>
      <c r="G439" s="79">
        <f t="shared" si="272"/>
        <v>7004.7325000000001</v>
      </c>
      <c r="H439" s="79">
        <f t="shared" si="273"/>
        <v>6580.8715384615389</v>
      </c>
      <c r="I439" s="79">
        <f>AVERAGE($F$395:F439)</f>
        <v>6998.7804444444428</v>
      </c>
      <c r="J439" s="84">
        <f t="shared" ref="J439" si="277">+I439*52</f>
        <v>363936.58311111102</v>
      </c>
      <c r="K439" s="79">
        <f t="shared" si="274"/>
        <v>353578.05999999994</v>
      </c>
      <c r="L439" s="85">
        <f t="shared" si="275"/>
        <v>1166.4634074074072</v>
      </c>
      <c r="M439" s="79">
        <f t="shared" ref="M439:M441" si="278">+M438+F439</f>
        <v>2140353.865966667</v>
      </c>
    </row>
    <row r="440" spans="1:13" x14ac:dyDescent="0.2">
      <c r="A440" s="83">
        <v>42687</v>
      </c>
      <c r="B440" s="79">
        <v>0</v>
      </c>
      <c r="C440" s="79">
        <v>0</v>
      </c>
      <c r="D440" s="86">
        <v>4774.68</v>
      </c>
      <c r="E440" s="28">
        <f>+D440*0.05</f>
        <v>238.73400000000004</v>
      </c>
      <c r="F440" s="79">
        <f t="shared" ref="F440:F442" si="279">SUM(B440:D440)</f>
        <v>4774.68</v>
      </c>
      <c r="G440" s="79">
        <f t="shared" ref="G440:G442" si="280">AVERAGE(F437:F440)</f>
        <v>6616.67</v>
      </c>
      <c r="H440" s="79">
        <f t="shared" ref="H440:H442" si="281">AVERAGE(F428:F440)</f>
        <v>6497.0061538461532</v>
      </c>
      <c r="I440" s="79">
        <f>AVERAGE($F$395:F440)</f>
        <v>6950.4304347826073</v>
      </c>
      <c r="J440" s="84">
        <f>+I440*52</f>
        <v>361422.3826086956</v>
      </c>
      <c r="K440" s="79">
        <f t="shared" ref="K440:K442" si="282">SUM(F389:F440)</f>
        <v>350648.05999999994</v>
      </c>
      <c r="L440" s="85">
        <f t="shared" ref="L440:L442" si="283">+I440/6</f>
        <v>1158.405072463768</v>
      </c>
      <c r="M440" s="79">
        <f t="shared" si="278"/>
        <v>2145128.5459666671</v>
      </c>
    </row>
    <row r="441" spans="1:13" x14ac:dyDescent="0.2">
      <c r="A441" s="83">
        <v>42694</v>
      </c>
      <c r="B441" s="79">
        <v>0</v>
      </c>
      <c r="C441" s="79">
        <v>0</v>
      </c>
      <c r="D441" s="86">
        <v>4086.51</v>
      </c>
      <c r="E441" s="28">
        <f>+D441*0.05</f>
        <v>204.32550000000003</v>
      </c>
      <c r="F441" s="79">
        <f t="shared" si="279"/>
        <v>4086.51</v>
      </c>
      <c r="G441" s="79">
        <f t="shared" si="280"/>
        <v>5889.93</v>
      </c>
      <c r="H441" s="79">
        <f t="shared" si="281"/>
        <v>6414.1730769230762</v>
      </c>
      <c r="I441" s="79">
        <f>AVERAGE($F$395:F441)</f>
        <v>6889.4959574468076</v>
      </c>
      <c r="J441" s="84">
        <f>+I441*52</f>
        <v>358253.78978723398</v>
      </c>
      <c r="K441" s="79">
        <f t="shared" si="282"/>
        <v>349881.99999999994</v>
      </c>
      <c r="L441" s="85">
        <f t="shared" si="283"/>
        <v>1148.2493262411347</v>
      </c>
      <c r="M441" s="79">
        <f t="shared" si="278"/>
        <v>2149215.0559666669</v>
      </c>
    </row>
    <row r="442" spans="1:13" x14ac:dyDescent="0.2">
      <c r="A442" s="83">
        <v>42701</v>
      </c>
      <c r="B442" s="79">
        <v>0</v>
      </c>
      <c r="C442" s="79">
        <v>0</v>
      </c>
      <c r="D442" s="106">
        <v>4746.62</v>
      </c>
      <c r="E442" s="28">
        <f t="shared" ref="E442" si="284">+D442*0.05</f>
        <v>237.33100000000002</v>
      </c>
      <c r="F442" s="79">
        <f t="shared" si="279"/>
        <v>4746.62</v>
      </c>
      <c r="G442" s="79">
        <f t="shared" si="280"/>
        <v>5280.085</v>
      </c>
      <c r="H442" s="79">
        <f t="shared" si="281"/>
        <v>6329.6184615384609</v>
      </c>
      <c r="I442" s="79">
        <f>AVERAGE($F$395:F442)</f>
        <v>6844.852708333332</v>
      </c>
      <c r="J442" s="84">
        <f t="shared" ref="J442" si="285">+I442*52</f>
        <v>355932.34083333326</v>
      </c>
      <c r="K442" s="79">
        <f t="shared" si="282"/>
        <v>349997.62999999989</v>
      </c>
      <c r="L442" s="85">
        <f t="shared" si="283"/>
        <v>1140.8087847222221</v>
      </c>
      <c r="M442" s="79">
        <f t="shared" ref="M442:M444" si="286">+M441+F442</f>
        <v>2153961.675966667</v>
      </c>
    </row>
    <row r="443" spans="1:13" x14ac:dyDescent="0.2">
      <c r="A443" s="83">
        <v>42708</v>
      </c>
      <c r="B443" s="79">
        <v>0</v>
      </c>
      <c r="C443" s="79">
        <v>0</v>
      </c>
      <c r="D443" s="86">
        <v>6475.43</v>
      </c>
      <c r="E443" s="28">
        <f>+D443*0.05</f>
        <v>323.77150000000006</v>
      </c>
      <c r="F443" s="79">
        <f t="shared" ref="F443:F445" si="287">SUM(B443:D443)</f>
        <v>6475.43</v>
      </c>
      <c r="G443" s="79">
        <f t="shared" ref="G443:G445" si="288">AVERAGE(F440:F443)</f>
        <v>5020.8100000000004</v>
      </c>
      <c r="H443" s="79">
        <f t="shared" ref="H443:H445" si="289">AVERAGE(F431:F443)</f>
        <v>6371.7053846153831</v>
      </c>
      <c r="I443" s="79">
        <f>AVERAGE($F$395:F443)</f>
        <v>6837.3134693877537</v>
      </c>
      <c r="J443" s="84">
        <f>+I443*52</f>
        <v>355540.30040816317</v>
      </c>
      <c r="K443" s="79">
        <f t="shared" ref="K443:K445" si="290">SUM(F392:F443)</f>
        <v>350272.6399999999</v>
      </c>
      <c r="L443" s="85">
        <f t="shared" ref="L443:L445" si="291">+I443/6</f>
        <v>1139.5522448979589</v>
      </c>
      <c r="M443" s="79">
        <f t="shared" si="286"/>
        <v>2160437.1059666672</v>
      </c>
    </row>
    <row r="444" spans="1:13" x14ac:dyDescent="0.2">
      <c r="A444" s="83">
        <v>42715</v>
      </c>
      <c r="B444" s="79">
        <v>0</v>
      </c>
      <c r="C444" s="79">
        <v>0</v>
      </c>
      <c r="D444" s="86">
        <v>4725.59</v>
      </c>
      <c r="E444" s="28">
        <f>+D444*0.05</f>
        <v>236.27950000000001</v>
      </c>
      <c r="F444" s="79">
        <f t="shared" si="287"/>
        <v>4725.59</v>
      </c>
      <c r="G444" s="79">
        <f t="shared" si="288"/>
        <v>5008.5375000000004</v>
      </c>
      <c r="H444" s="79">
        <f t="shared" si="289"/>
        <v>6320.9438461538457</v>
      </c>
      <c r="I444" s="79">
        <f>AVERAGE($F$395:F444)</f>
        <v>6795.0789999999988</v>
      </c>
      <c r="J444" s="84">
        <f>+I444*52</f>
        <v>353344.10799999995</v>
      </c>
      <c r="K444" s="79">
        <f t="shared" si="290"/>
        <v>350465.41999999993</v>
      </c>
      <c r="L444" s="85">
        <f t="shared" si="291"/>
        <v>1132.5131666666664</v>
      </c>
      <c r="M444" s="79">
        <f t="shared" si="286"/>
        <v>2165162.695966667</v>
      </c>
    </row>
    <row r="445" spans="1:13" x14ac:dyDescent="0.2">
      <c r="A445" s="83">
        <v>42722</v>
      </c>
      <c r="B445" s="79">
        <v>0</v>
      </c>
      <c r="C445" s="79">
        <v>0</v>
      </c>
      <c r="D445" s="86">
        <v>6388.58</v>
      </c>
      <c r="E445" s="28">
        <f t="shared" ref="E445" si="292">+D445*0.05</f>
        <v>319.42900000000003</v>
      </c>
      <c r="F445" s="79">
        <f t="shared" si="287"/>
        <v>6388.58</v>
      </c>
      <c r="G445" s="79">
        <f t="shared" si="288"/>
        <v>5584.0550000000003</v>
      </c>
      <c r="H445" s="79">
        <f t="shared" si="289"/>
        <v>6361.2215384615392</v>
      </c>
      <c r="I445" s="79">
        <f>AVERAGE($F$395:F445)</f>
        <v>6787.1084313725487</v>
      </c>
      <c r="J445" s="84">
        <f t="shared" ref="J445" si="293">+I445*52</f>
        <v>352929.63843137253</v>
      </c>
      <c r="K445" s="79">
        <f t="shared" si="290"/>
        <v>350966.93999999994</v>
      </c>
      <c r="L445" s="85">
        <f t="shared" si="291"/>
        <v>1131.1847385620915</v>
      </c>
      <c r="M445" s="79">
        <f t="shared" ref="M445:M447" si="294">+M444+F445</f>
        <v>2171551.2759666671</v>
      </c>
    </row>
    <row r="446" spans="1:13" x14ac:dyDescent="0.2">
      <c r="A446" s="83">
        <v>42729</v>
      </c>
      <c r="B446" s="79">
        <v>0</v>
      </c>
      <c r="C446" s="79">
        <v>0</v>
      </c>
      <c r="D446" s="86">
        <v>4139.29</v>
      </c>
      <c r="E446" s="28">
        <f>+D446*0.05</f>
        <v>206.96450000000002</v>
      </c>
      <c r="F446" s="79">
        <f t="shared" ref="F446:F448" si="295">SUM(B446:D446)</f>
        <v>4139.29</v>
      </c>
      <c r="G446" s="79">
        <f t="shared" ref="G446:G448" si="296">AVERAGE(F443:F446)</f>
        <v>5432.2224999999999</v>
      </c>
      <c r="H446" s="79">
        <f t="shared" ref="H446:H448" si="297">AVERAGE(F434:F446)</f>
        <v>6322.5669230769226</v>
      </c>
      <c r="I446" s="79">
        <f>AVERAGE($F$395:F446)</f>
        <v>6736.1888461538456</v>
      </c>
      <c r="J446" s="84">
        <f>+I446*52</f>
        <v>350281.81999999995</v>
      </c>
      <c r="K446" s="79">
        <f t="shared" ref="K446:K448" si="298">SUM(F395:F446)</f>
        <v>350281.81999999995</v>
      </c>
      <c r="L446" s="85">
        <f t="shared" ref="L446:L448" si="299">+I446/6</f>
        <v>1122.698141025641</v>
      </c>
      <c r="M446" s="79">
        <f t="shared" si="294"/>
        <v>2175690.5659666671</v>
      </c>
    </row>
    <row r="447" spans="1:13" x14ac:dyDescent="0.2">
      <c r="A447" s="83">
        <v>42736</v>
      </c>
      <c r="B447" s="79">
        <v>0</v>
      </c>
      <c r="C447" s="79">
        <v>0</v>
      </c>
      <c r="D447" s="86">
        <v>7855.97</v>
      </c>
      <c r="E447" s="28">
        <f>+D447*0.05</f>
        <v>392.79850000000005</v>
      </c>
      <c r="F447" s="79">
        <f t="shared" si="295"/>
        <v>7855.97</v>
      </c>
      <c r="G447" s="79">
        <f t="shared" si="296"/>
        <v>5777.3575000000001</v>
      </c>
      <c r="H447" s="79">
        <f t="shared" si="297"/>
        <v>6112.3615384615387</v>
      </c>
      <c r="I447" s="79">
        <f>AVERAGE(F447)</f>
        <v>7855.97</v>
      </c>
      <c r="J447" s="84">
        <f>+I447*52</f>
        <v>408510.44</v>
      </c>
      <c r="K447" s="112">
        <f t="shared" si="298"/>
        <v>355334.23999999987</v>
      </c>
      <c r="L447" s="113">
        <f t="shared" si="299"/>
        <v>1309.3283333333334</v>
      </c>
      <c r="M447" s="79">
        <f t="shared" si="294"/>
        <v>2183546.5359666673</v>
      </c>
    </row>
    <row r="448" spans="1:13" x14ac:dyDescent="0.2">
      <c r="A448" s="83">
        <v>42743</v>
      </c>
      <c r="B448" s="79">
        <v>0</v>
      </c>
      <c r="C448" s="79">
        <v>0</v>
      </c>
      <c r="D448" s="86">
        <v>5243.33</v>
      </c>
      <c r="E448" s="28">
        <f t="shared" ref="E448" si="300">+D448*0.05</f>
        <v>262.16649999999998</v>
      </c>
      <c r="F448" s="79">
        <f t="shared" si="295"/>
        <v>5243.33</v>
      </c>
      <c r="G448" s="79">
        <f t="shared" si="296"/>
        <v>5906.7924999999996</v>
      </c>
      <c r="H448" s="79">
        <f t="shared" si="297"/>
        <v>5881.1484615384625</v>
      </c>
      <c r="I448" s="79">
        <f>AVERAGE($F$447:F448)</f>
        <v>6549.65</v>
      </c>
      <c r="J448" s="84">
        <f t="shared" ref="J448" si="301">+I448*52</f>
        <v>340581.8</v>
      </c>
      <c r="K448" s="79">
        <f t="shared" si="298"/>
        <v>356779.05999999988</v>
      </c>
      <c r="L448" s="85">
        <f t="shared" si="299"/>
        <v>1091.6083333333333</v>
      </c>
      <c r="M448" s="79">
        <f t="shared" ref="M448:M450" si="302">+M447+F448</f>
        <v>2188789.8659666674</v>
      </c>
    </row>
    <row r="449" spans="1:13" x14ac:dyDescent="0.2">
      <c r="A449" s="83">
        <v>42750</v>
      </c>
      <c r="B449" s="79">
        <v>0</v>
      </c>
      <c r="C449" s="79">
        <v>0</v>
      </c>
      <c r="D449" s="86">
        <v>5511.29</v>
      </c>
      <c r="E449" s="28">
        <f>+D449*0.05</f>
        <v>275.56450000000001</v>
      </c>
      <c r="F449" s="79">
        <f t="shared" ref="F449:F451" si="303">SUM(B449:D449)</f>
        <v>5511.29</v>
      </c>
      <c r="G449" s="79">
        <f t="shared" ref="G449:G451" si="304">AVERAGE(F446:F449)</f>
        <v>5687.47</v>
      </c>
      <c r="H449" s="79">
        <f t="shared" ref="H449:H451" si="305">AVERAGE(F437:F449)</f>
        <v>5818.4069230769228</v>
      </c>
      <c r="I449" s="79">
        <f>AVERAGE($F$447:F449)</f>
        <v>6203.53</v>
      </c>
      <c r="J449" s="84">
        <f>+I449*52</f>
        <v>322583.56</v>
      </c>
      <c r="K449" s="79">
        <f t="shared" ref="K449:K451" si="306">SUM(F398:F449)</f>
        <v>358155.73999999987</v>
      </c>
      <c r="L449" s="85">
        <f t="shared" ref="L449:L451" si="307">+I449/6</f>
        <v>1033.9216666666666</v>
      </c>
      <c r="M449" s="79">
        <f t="shared" si="302"/>
        <v>2194301.1559666675</v>
      </c>
    </row>
    <row r="450" spans="1:13" x14ac:dyDescent="0.2">
      <c r="A450" s="83">
        <v>42757</v>
      </c>
      <c r="B450" s="79">
        <v>0</v>
      </c>
      <c r="C450" s="79">
        <v>0</v>
      </c>
      <c r="D450" s="86">
        <v>5654.49</v>
      </c>
      <c r="E450" s="28">
        <f>+D450*0.05</f>
        <v>282.72449999999998</v>
      </c>
      <c r="F450" s="79">
        <f t="shared" si="303"/>
        <v>5654.49</v>
      </c>
      <c r="G450" s="79">
        <f t="shared" si="304"/>
        <v>6066.27</v>
      </c>
      <c r="H450" s="79">
        <f t="shared" si="305"/>
        <v>5715.4084615384627</v>
      </c>
      <c r="I450" s="79">
        <f>AVERAGE($F$447:F450)</f>
        <v>6066.27</v>
      </c>
      <c r="J450" s="84">
        <f>+I450*52</f>
        <v>315446.04000000004</v>
      </c>
      <c r="K450" s="79">
        <f t="shared" si="306"/>
        <v>359345.54999999987</v>
      </c>
      <c r="L450" s="85">
        <f t="shared" si="307"/>
        <v>1011.0450000000001</v>
      </c>
      <c r="M450" s="79">
        <f t="shared" si="302"/>
        <v>2199955.6459666677</v>
      </c>
    </row>
    <row r="451" spans="1:13" x14ac:dyDescent="0.2">
      <c r="A451" s="83">
        <v>42764</v>
      </c>
      <c r="B451" s="79">
        <v>0</v>
      </c>
      <c r="C451" s="79">
        <v>0</v>
      </c>
      <c r="D451" s="86">
        <v>6465.18</v>
      </c>
      <c r="E451" s="28">
        <f t="shared" ref="E451" si="308">+D451*0.05</f>
        <v>323.25900000000001</v>
      </c>
      <c r="F451" s="79">
        <f t="shared" si="303"/>
        <v>6465.18</v>
      </c>
      <c r="G451" s="79">
        <f t="shared" si="304"/>
        <v>5718.5725000000002</v>
      </c>
      <c r="H451" s="79">
        <f t="shared" si="305"/>
        <v>5659.9607692307709</v>
      </c>
      <c r="I451" s="79">
        <f>AVERAGE($F$447:F451)</f>
        <v>6146.0520000000006</v>
      </c>
      <c r="J451" s="84">
        <f t="shared" ref="J451" si="309">+I451*52</f>
        <v>319594.70400000003</v>
      </c>
      <c r="K451" s="79">
        <f t="shared" si="306"/>
        <v>357073.35999999981</v>
      </c>
      <c r="L451" s="85">
        <f t="shared" si="307"/>
        <v>1024.3420000000001</v>
      </c>
      <c r="M451" s="79">
        <f t="shared" ref="M451:M453" si="310">+M450+F451</f>
        <v>2206420.8259666678</v>
      </c>
    </row>
    <row r="452" spans="1:13" x14ac:dyDescent="0.2">
      <c r="A452" s="83">
        <v>42771</v>
      </c>
      <c r="B452" s="79">
        <v>0</v>
      </c>
      <c r="C452" s="79">
        <v>0</v>
      </c>
      <c r="D452" s="86">
        <v>5131.67</v>
      </c>
      <c r="E452" s="28">
        <f>+D452*0.05</f>
        <v>256.58350000000002</v>
      </c>
      <c r="F452" s="79">
        <f t="shared" ref="F452:F454" si="311">SUM(B452:D452)</f>
        <v>5131.67</v>
      </c>
      <c r="G452" s="79">
        <f t="shared" ref="G452:G454" si="312">AVERAGE(F449:F452)</f>
        <v>5690.6574999999993</v>
      </c>
      <c r="H452" s="79">
        <f t="shared" ref="H452:H454" si="313">AVERAGE(F440:F452)</f>
        <v>5476.8176923076926</v>
      </c>
      <c r="I452" s="79">
        <f>AVERAGE($F$447:F452)</f>
        <v>5976.9883333333337</v>
      </c>
      <c r="J452" s="84">
        <f>+I452*52</f>
        <v>310803.39333333337</v>
      </c>
      <c r="K452" s="79">
        <f t="shared" ref="K452:K454" si="314">SUM(F401:F452)</f>
        <v>353933.84999999986</v>
      </c>
      <c r="L452" s="85">
        <f t="shared" ref="L452:L454" si="315">+I452/6</f>
        <v>996.16472222222228</v>
      </c>
      <c r="M452" s="79">
        <f t="shared" si="310"/>
        <v>2211552.4959666678</v>
      </c>
    </row>
    <row r="453" spans="1:13" x14ac:dyDescent="0.2">
      <c r="A453" s="83">
        <v>42778</v>
      </c>
      <c r="B453" s="79">
        <v>0</v>
      </c>
      <c r="C453" s="79">
        <v>0</v>
      </c>
      <c r="D453" s="86">
        <v>6842.04</v>
      </c>
      <c r="E453" s="28">
        <f>+D453*0.05</f>
        <v>342.10200000000003</v>
      </c>
      <c r="F453" s="79">
        <f t="shared" si="311"/>
        <v>6842.04</v>
      </c>
      <c r="G453" s="79">
        <f t="shared" si="312"/>
        <v>6023.3450000000003</v>
      </c>
      <c r="H453" s="79">
        <f t="shared" si="313"/>
        <v>5635.8453846153852</v>
      </c>
      <c r="I453" s="79">
        <f>AVERAGE($F$447:F453)</f>
        <v>6100.5671428571432</v>
      </c>
      <c r="J453" s="84">
        <f>+I453*52</f>
        <v>317229.49142857146</v>
      </c>
      <c r="K453" s="79">
        <f t="shared" si="314"/>
        <v>350387.08999999985</v>
      </c>
      <c r="L453" s="85">
        <f t="shared" si="315"/>
        <v>1016.7611904761906</v>
      </c>
      <c r="M453" s="79">
        <f t="shared" si="310"/>
        <v>2218394.5359666678</v>
      </c>
    </row>
    <row r="454" spans="1:13" x14ac:dyDescent="0.2">
      <c r="A454" s="83">
        <v>42785</v>
      </c>
      <c r="B454" s="79">
        <v>0</v>
      </c>
      <c r="C454" s="79">
        <v>0</v>
      </c>
      <c r="D454" s="86">
        <v>8135.78</v>
      </c>
      <c r="E454" s="28">
        <f t="shared" ref="E454" si="316">+D454*0.05</f>
        <v>406.78899999999999</v>
      </c>
      <c r="F454" s="79">
        <f t="shared" si="311"/>
        <v>8135.78</v>
      </c>
      <c r="G454" s="79">
        <f t="shared" si="312"/>
        <v>6643.6674999999996</v>
      </c>
      <c r="H454" s="79">
        <f t="shared" si="313"/>
        <v>5947.3276923076919</v>
      </c>
      <c r="I454" s="79">
        <f>AVERAGE($F$447:F454)</f>
        <v>6354.96875</v>
      </c>
      <c r="J454" s="84">
        <f t="shared" ref="J454" si="317">+I454*52</f>
        <v>330458.375</v>
      </c>
      <c r="K454" s="79">
        <f t="shared" si="314"/>
        <v>345480.5199999999</v>
      </c>
      <c r="L454" s="85">
        <f t="shared" si="315"/>
        <v>1059.1614583333333</v>
      </c>
      <c r="M454" s="79">
        <f t="shared" ref="M454:M456" si="318">+M453+F454</f>
        <v>2226530.3159666676</v>
      </c>
    </row>
    <row r="455" spans="1:13" x14ac:dyDescent="0.2">
      <c r="A455" s="83">
        <v>42792</v>
      </c>
      <c r="B455" s="79">
        <v>0</v>
      </c>
      <c r="C455" s="79">
        <v>0</v>
      </c>
      <c r="D455" s="86">
        <v>7828.6</v>
      </c>
      <c r="E455" s="28">
        <f>+D455*0.05</f>
        <v>391.43000000000006</v>
      </c>
      <c r="F455" s="79">
        <f t="shared" ref="F455:F457" si="319">SUM(B455:D455)</f>
        <v>7828.6</v>
      </c>
      <c r="G455" s="79">
        <f t="shared" ref="G455:G457" si="320">AVERAGE(F452:F455)</f>
        <v>6984.5224999999991</v>
      </c>
      <c r="H455" s="79">
        <f t="shared" ref="H455:H457" si="321">AVERAGE(F443:F455)</f>
        <v>6184.4030769230776</v>
      </c>
      <c r="I455" s="79">
        <f>AVERAGE($F$447:F455)</f>
        <v>6518.7055555555553</v>
      </c>
      <c r="J455" s="84">
        <f>+I455*52</f>
        <v>338972.68888888886</v>
      </c>
      <c r="K455" s="79">
        <f t="shared" ref="K455:K457" si="322">SUM(F404:F455)</f>
        <v>343156.02999999991</v>
      </c>
      <c r="L455" s="85">
        <f t="shared" ref="L455:L457" si="323">+I455/6</f>
        <v>1086.450925925926</v>
      </c>
      <c r="M455" s="79">
        <f t="shared" si="318"/>
        <v>2234358.9159666677</v>
      </c>
    </row>
    <row r="456" spans="1:13" x14ac:dyDescent="0.2">
      <c r="A456" s="83">
        <v>42799</v>
      </c>
      <c r="B456" s="79">
        <v>0</v>
      </c>
      <c r="C456" s="79">
        <v>0</v>
      </c>
      <c r="D456" s="86">
        <v>6986.6</v>
      </c>
      <c r="E456" s="28">
        <f>+D456*0.05</f>
        <v>349.33000000000004</v>
      </c>
      <c r="F456" s="79">
        <f t="shared" si="319"/>
        <v>6986.6</v>
      </c>
      <c r="G456" s="79">
        <f t="shared" si="320"/>
        <v>7448.2549999999992</v>
      </c>
      <c r="H456" s="79">
        <f t="shared" si="321"/>
        <v>6223.7238461538473</v>
      </c>
      <c r="I456" s="79">
        <f>AVERAGE($F$447:F456)</f>
        <v>6565.4949999999999</v>
      </c>
      <c r="J456" s="84">
        <f>+I456*52</f>
        <v>341405.74</v>
      </c>
      <c r="K456" s="79">
        <f t="shared" si="322"/>
        <v>338532.73999999982</v>
      </c>
      <c r="L456" s="85">
        <f t="shared" si="323"/>
        <v>1094.2491666666667</v>
      </c>
      <c r="M456" s="79">
        <f t="shared" si="318"/>
        <v>2241345.5159666678</v>
      </c>
    </row>
    <row r="457" spans="1:13" x14ac:dyDescent="0.2">
      <c r="A457" s="83">
        <v>42806</v>
      </c>
      <c r="B457" s="79">
        <v>0</v>
      </c>
      <c r="C457" s="79">
        <v>0</v>
      </c>
      <c r="D457" s="86">
        <v>10012.27</v>
      </c>
      <c r="E457" s="28">
        <f t="shared" ref="E457" si="324">+D457*0.05</f>
        <v>500.61350000000004</v>
      </c>
      <c r="F457" s="79">
        <f t="shared" si="319"/>
        <v>10012.27</v>
      </c>
      <c r="G457" s="79">
        <f t="shared" si="320"/>
        <v>8240.8125</v>
      </c>
      <c r="H457" s="79">
        <f t="shared" si="321"/>
        <v>6630.3915384615393</v>
      </c>
      <c r="I457" s="79">
        <f>AVERAGE($F$447:F457)</f>
        <v>6878.8381818181815</v>
      </c>
      <c r="J457" s="84">
        <f t="shared" ref="J457" si="325">+I457*52</f>
        <v>357699.58545454545</v>
      </c>
      <c r="K457" s="79">
        <f t="shared" si="322"/>
        <v>341502.85999999981</v>
      </c>
      <c r="L457" s="85">
        <f t="shared" si="323"/>
        <v>1146.4730303030303</v>
      </c>
      <c r="M457" s="79">
        <f t="shared" ref="M457:M459" si="326">+M456+F457</f>
        <v>2251357.7859666678</v>
      </c>
    </row>
    <row r="458" spans="1:13" x14ac:dyDescent="0.2">
      <c r="A458" s="83">
        <v>42813</v>
      </c>
      <c r="B458" s="79">
        <v>0</v>
      </c>
      <c r="C458" s="79">
        <v>0</v>
      </c>
      <c r="D458" s="86">
        <v>10871.35</v>
      </c>
      <c r="E458" s="28">
        <f>+D458*0.05</f>
        <v>543.5675</v>
      </c>
      <c r="F458" s="79">
        <f t="shared" ref="F458:F460" si="327">SUM(B458:D458)</f>
        <v>10871.35</v>
      </c>
      <c r="G458" s="79">
        <f t="shared" ref="G458:G460" si="328">AVERAGE(F455:F458)</f>
        <v>8924.7049999999999</v>
      </c>
      <c r="H458" s="79">
        <f t="shared" ref="H458:H460" si="329">AVERAGE(F446:F458)</f>
        <v>6975.2200000000012</v>
      </c>
      <c r="I458" s="79">
        <f>AVERAGE($F$447:F458)</f>
        <v>7211.5475000000006</v>
      </c>
      <c r="J458" s="84">
        <f>+I458*52</f>
        <v>375000.47000000003</v>
      </c>
      <c r="K458" s="79">
        <f t="shared" ref="K458:K460" si="330">SUM(F407:F458)</f>
        <v>344061.2899999998</v>
      </c>
      <c r="L458" s="85">
        <f t="shared" ref="L458:L460" si="331">+I458/6</f>
        <v>1201.9245833333334</v>
      </c>
      <c r="M458" s="79">
        <f t="shared" si="326"/>
        <v>2262229.1359666679</v>
      </c>
    </row>
    <row r="459" spans="1:13" x14ac:dyDescent="0.2">
      <c r="A459" s="83">
        <v>42820</v>
      </c>
      <c r="B459" s="79">
        <v>0</v>
      </c>
      <c r="C459" s="79">
        <v>0</v>
      </c>
      <c r="D459" s="86">
        <v>8689.43</v>
      </c>
      <c r="E459" s="28">
        <f>+D459*0.05</f>
        <v>434.47150000000005</v>
      </c>
      <c r="F459" s="79">
        <f t="shared" si="327"/>
        <v>8689.43</v>
      </c>
      <c r="G459" s="79">
        <f t="shared" si="328"/>
        <v>9139.9125000000004</v>
      </c>
      <c r="H459" s="79">
        <f t="shared" si="329"/>
        <v>7325.2307692307695</v>
      </c>
      <c r="I459" s="79">
        <f>AVERAGE($F$447:F459)</f>
        <v>7325.2307692307695</v>
      </c>
      <c r="J459" s="84">
        <f>+I459*52</f>
        <v>380912</v>
      </c>
      <c r="K459" s="79">
        <f t="shared" si="330"/>
        <v>342094.25999999983</v>
      </c>
      <c r="L459" s="85">
        <f t="shared" si="331"/>
        <v>1220.8717948717949</v>
      </c>
      <c r="M459" s="79">
        <f t="shared" si="326"/>
        <v>2270918.5659666681</v>
      </c>
    </row>
    <row r="460" spans="1:13" x14ac:dyDescent="0.2">
      <c r="A460" s="83">
        <v>42827</v>
      </c>
      <c r="B460" s="79">
        <v>0</v>
      </c>
      <c r="C460" s="79">
        <v>0</v>
      </c>
      <c r="D460" s="86">
        <v>5984.12</v>
      </c>
      <c r="E460" s="28">
        <f t="shared" ref="E460" si="332">+D460*0.05</f>
        <v>299.20600000000002</v>
      </c>
      <c r="F460" s="79">
        <f t="shared" si="327"/>
        <v>5984.12</v>
      </c>
      <c r="G460" s="79">
        <f t="shared" si="328"/>
        <v>8889.2925000000014</v>
      </c>
      <c r="H460" s="79">
        <f t="shared" si="329"/>
        <v>7181.2423076923069</v>
      </c>
      <c r="I460" s="79">
        <f>AVERAGE($F$447:F460)</f>
        <v>7229.4371428571421</v>
      </c>
      <c r="J460" s="84">
        <f t="shared" ref="J460" si="333">+I460*52</f>
        <v>375930.73142857139</v>
      </c>
      <c r="K460" s="79">
        <f t="shared" si="330"/>
        <v>338505.57999999984</v>
      </c>
      <c r="L460" s="85">
        <f t="shared" si="331"/>
        <v>1204.9061904761904</v>
      </c>
      <c r="M460" s="79">
        <f t="shared" ref="M460:M462" si="334">+M459+F460</f>
        <v>2276902.6859666682</v>
      </c>
    </row>
    <row r="461" spans="1:13" x14ac:dyDescent="0.2">
      <c r="A461" s="83">
        <v>42834</v>
      </c>
      <c r="B461" s="79">
        <v>0</v>
      </c>
      <c r="C461" s="79">
        <v>0</v>
      </c>
      <c r="D461" s="86">
        <v>7873.83</v>
      </c>
      <c r="E461" s="28">
        <f>+D461*0.05</f>
        <v>393.69150000000002</v>
      </c>
      <c r="F461" s="79">
        <f t="shared" ref="F461:F463" si="335">SUM(B461:D461)</f>
        <v>7873.83</v>
      </c>
      <c r="G461" s="79">
        <f t="shared" ref="G461:G463" si="336">AVERAGE(F458:F461)</f>
        <v>8354.682499999999</v>
      </c>
      <c r="H461" s="79">
        <f t="shared" ref="H461:H463" si="337">AVERAGE(F449:F461)</f>
        <v>7383.5884615384621</v>
      </c>
      <c r="I461" s="79">
        <f>AVERAGE($F$447:F461)</f>
        <v>7272.3966666666665</v>
      </c>
      <c r="J461" s="84">
        <f>+I461*52</f>
        <v>378164.62666666665</v>
      </c>
      <c r="K461" s="79">
        <f t="shared" ref="K461:K463" si="338">SUM(F410:F461)</f>
        <v>338897.04999999987</v>
      </c>
      <c r="L461" s="85">
        <f t="shared" ref="L461:L463" si="339">+I461/6</f>
        <v>1212.066111111111</v>
      </c>
      <c r="M461" s="79">
        <f t="shared" si="334"/>
        <v>2284776.5159666683</v>
      </c>
    </row>
    <row r="462" spans="1:13" x14ac:dyDescent="0.2">
      <c r="A462" s="83">
        <v>42841</v>
      </c>
      <c r="B462" s="79">
        <v>0</v>
      </c>
      <c r="C462" s="79">
        <v>0</v>
      </c>
      <c r="D462" s="86">
        <v>7749.38</v>
      </c>
      <c r="E462" s="28">
        <f>+D462*0.05</f>
        <v>387.46900000000005</v>
      </c>
      <c r="F462" s="79">
        <f t="shared" si="335"/>
        <v>7749.38</v>
      </c>
      <c r="G462" s="79">
        <f t="shared" si="336"/>
        <v>7574.19</v>
      </c>
      <c r="H462" s="79">
        <f t="shared" si="337"/>
        <v>7555.749230769231</v>
      </c>
      <c r="I462" s="79">
        <f>AVERAGE($F$447:F462)</f>
        <v>7302.2081250000001</v>
      </c>
      <c r="J462" s="84">
        <f>+I462*52</f>
        <v>379714.82250000001</v>
      </c>
      <c r="K462" s="79">
        <f t="shared" si="338"/>
        <v>335395.22999999992</v>
      </c>
      <c r="L462" s="85">
        <f t="shared" si="339"/>
        <v>1217.0346875</v>
      </c>
      <c r="M462" s="79">
        <f t="shared" si="334"/>
        <v>2292525.8959666681</v>
      </c>
    </row>
    <row r="463" spans="1:13" x14ac:dyDescent="0.2">
      <c r="A463" s="83">
        <v>42848</v>
      </c>
      <c r="B463" s="79">
        <v>0</v>
      </c>
      <c r="C463" s="79">
        <v>0</v>
      </c>
      <c r="D463" s="172">
        <v>5371.2</v>
      </c>
      <c r="E463" s="28">
        <f t="shared" ref="E463" si="340">+D463*0.05</f>
        <v>268.56</v>
      </c>
      <c r="F463" s="79">
        <f t="shared" si="335"/>
        <v>5371.2</v>
      </c>
      <c r="G463" s="79">
        <f t="shared" si="336"/>
        <v>6744.6325000000006</v>
      </c>
      <c r="H463" s="79">
        <f t="shared" si="337"/>
        <v>7533.957692307692</v>
      </c>
      <c r="I463" s="79">
        <f>AVERAGE($F$447:F463)</f>
        <v>7188.6194117647055</v>
      </c>
      <c r="J463" s="84">
        <f t="shared" ref="J463" si="341">+I463*52</f>
        <v>373808.20941176469</v>
      </c>
      <c r="K463" s="79">
        <f t="shared" si="338"/>
        <v>336040.29999999993</v>
      </c>
      <c r="L463" s="85">
        <f t="shared" si="339"/>
        <v>1198.1032352941177</v>
      </c>
      <c r="M463" s="79">
        <f t="shared" ref="M463:M465" si="342">+M462+F463</f>
        <v>2297897.0959666683</v>
      </c>
    </row>
    <row r="464" spans="1:13" x14ac:dyDescent="0.2">
      <c r="A464" s="83">
        <v>42855</v>
      </c>
      <c r="B464" s="79">
        <v>0</v>
      </c>
      <c r="C464" s="79">
        <v>0</v>
      </c>
      <c r="D464" s="86">
        <v>10393.120000000001</v>
      </c>
      <c r="E464" s="28">
        <f>+D464*0.05</f>
        <v>519.65600000000006</v>
      </c>
      <c r="F464" s="79">
        <f t="shared" ref="F464:F466" si="343">SUM(B464:D464)</f>
        <v>10393.120000000001</v>
      </c>
      <c r="G464" s="79">
        <f t="shared" ref="G464:G466" si="344">AVERAGE(F461:F464)</f>
        <v>7846.8824999999997</v>
      </c>
      <c r="H464" s="79">
        <f t="shared" ref="H464:H466" si="345">AVERAGE(F452:F464)</f>
        <v>7836.1069230769217</v>
      </c>
      <c r="I464" s="79">
        <f>AVERAGE($F$447:F464)</f>
        <v>7366.6472222222219</v>
      </c>
      <c r="J464" s="84">
        <f>+I464*52</f>
        <v>383065.65555555554</v>
      </c>
      <c r="K464" s="79">
        <f t="shared" ref="K464:K466" si="346">SUM(F413:F464)</f>
        <v>339065.49999999994</v>
      </c>
      <c r="L464" s="85">
        <f t="shared" ref="L464:L466" si="347">+I464/6</f>
        <v>1227.7745370370369</v>
      </c>
      <c r="M464" s="79">
        <f t="shared" si="342"/>
        <v>2308290.2159666684</v>
      </c>
    </row>
    <row r="465" spans="1:13" x14ac:dyDescent="0.2">
      <c r="A465" s="83">
        <v>42862</v>
      </c>
      <c r="B465" s="79">
        <v>0</v>
      </c>
      <c r="C465" s="79">
        <v>0</v>
      </c>
      <c r="D465" s="86">
        <v>7774.53</v>
      </c>
      <c r="E465" s="28">
        <f>+D465*0.05</f>
        <v>388.72649999999999</v>
      </c>
      <c r="F465" s="79">
        <f t="shared" si="343"/>
        <v>7774.53</v>
      </c>
      <c r="G465" s="79">
        <f t="shared" si="344"/>
        <v>7822.0574999999999</v>
      </c>
      <c r="H465" s="79">
        <f t="shared" si="345"/>
        <v>8039.4038461538448</v>
      </c>
      <c r="I465" s="79">
        <f>AVERAGE($F$447:F465)</f>
        <v>7388.1147368421052</v>
      </c>
      <c r="J465" s="84">
        <f>+I465*52</f>
        <v>384181.9663157895</v>
      </c>
      <c r="K465" s="79">
        <f t="shared" si="346"/>
        <v>340881.05</v>
      </c>
      <c r="L465" s="85">
        <f t="shared" si="347"/>
        <v>1231.3524561403508</v>
      </c>
      <c r="M465" s="79">
        <f t="shared" si="342"/>
        <v>2316064.7459666682</v>
      </c>
    </row>
    <row r="466" spans="1:13" x14ac:dyDescent="0.2">
      <c r="A466" s="83">
        <v>42869</v>
      </c>
      <c r="B466" s="79">
        <v>0</v>
      </c>
      <c r="C466" s="79">
        <v>0</v>
      </c>
      <c r="D466" s="86">
        <v>8576.09</v>
      </c>
      <c r="E466" s="28">
        <f t="shared" ref="E466" si="348">+D466*0.05</f>
        <v>428.80450000000002</v>
      </c>
      <c r="F466" s="79">
        <f t="shared" si="343"/>
        <v>8576.09</v>
      </c>
      <c r="G466" s="79">
        <f t="shared" si="344"/>
        <v>8028.7349999999997</v>
      </c>
      <c r="H466" s="79">
        <f t="shared" si="345"/>
        <v>8172.7923076923071</v>
      </c>
      <c r="I466" s="79">
        <f>AVERAGE($F$447:F466)</f>
        <v>7447.5134999999991</v>
      </c>
      <c r="J466" s="84">
        <f t="shared" ref="J466" si="349">+I466*52</f>
        <v>387270.70199999993</v>
      </c>
      <c r="K466" s="79">
        <f t="shared" si="346"/>
        <v>345156.91000000003</v>
      </c>
      <c r="L466" s="85">
        <f t="shared" si="347"/>
        <v>1241.2522499999998</v>
      </c>
      <c r="M466" s="79">
        <f t="shared" ref="M466:M468" si="350">+M465+F466</f>
        <v>2324640.8359666681</v>
      </c>
    </row>
    <row r="467" spans="1:13" x14ac:dyDescent="0.2">
      <c r="A467" s="83">
        <v>42876</v>
      </c>
      <c r="B467" s="79">
        <v>0</v>
      </c>
      <c r="C467" s="79">
        <v>0</v>
      </c>
      <c r="D467" s="86">
        <v>6845.04</v>
      </c>
      <c r="E467" s="28">
        <f>+D467*0.05</f>
        <v>342.25200000000001</v>
      </c>
      <c r="F467" s="79">
        <f t="shared" ref="F467:F469" si="351">SUM(B467:D467)</f>
        <v>6845.04</v>
      </c>
      <c r="G467" s="79">
        <f t="shared" ref="G467:G469" si="352">AVERAGE(F464:F467)</f>
        <v>8397.1949999999997</v>
      </c>
      <c r="H467" s="79">
        <f t="shared" ref="H467:H469" si="353">AVERAGE(F455:F467)</f>
        <v>8073.5046153846142</v>
      </c>
      <c r="I467" s="79">
        <f>AVERAGE($F$447:F467)</f>
        <v>7418.8242857142859</v>
      </c>
      <c r="J467" s="84">
        <f>+I467*52</f>
        <v>385778.86285714287</v>
      </c>
      <c r="K467" s="79">
        <f t="shared" ref="K467:K469" si="354">SUM(F416:F467)</f>
        <v>345176.84</v>
      </c>
      <c r="L467" s="85">
        <f t="shared" ref="L467:L469" si="355">+I467/6</f>
        <v>1236.4707142857144</v>
      </c>
      <c r="M467" s="79">
        <f t="shared" si="350"/>
        <v>2331485.8759666681</v>
      </c>
    </row>
    <row r="468" spans="1:13" x14ac:dyDescent="0.2">
      <c r="A468" s="83">
        <v>42883</v>
      </c>
      <c r="B468" s="79">
        <v>0</v>
      </c>
      <c r="C468" s="79">
        <v>0</v>
      </c>
      <c r="D468" s="86">
        <v>7036.59</v>
      </c>
      <c r="E468" s="28">
        <f>+D468*0.05</f>
        <v>351.82950000000005</v>
      </c>
      <c r="F468" s="79">
        <f t="shared" si="351"/>
        <v>7036.59</v>
      </c>
      <c r="G468" s="79">
        <f t="shared" si="352"/>
        <v>7558.0625</v>
      </c>
      <c r="H468" s="79">
        <f t="shared" si="353"/>
        <v>8012.5807692307681</v>
      </c>
      <c r="I468" s="79">
        <f>AVERAGE($F$447:F468)</f>
        <v>7401.45</v>
      </c>
      <c r="J468" s="84">
        <f>+I468*52</f>
        <v>384875.39999999997</v>
      </c>
      <c r="K468" s="79">
        <f t="shared" si="354"/>
        <v>345562.27000000008</v>
      </c>
      <c r="L468" s="85">
        <f t="shared" si="355"/>
        <v>1233.575</v>
      </c>
      <c r="M468" s="79">
        <f t="shared" si="350"/>
        <v>2338522.465966668</v>
      </c>
    </row>
    <row r="469" spans="1:13" x14ac:dyDescent="0.2">
      <c r="A469" s="83">
        <v>42890</v>
      </c>
      <c r="B469" s="79">
        <v>0</v>
      </c>
      <c r="C469" s="79">
        <v>0</v>
      </c>
      <c r="D469" s="86">
        <v>7574.91</v>
      </c>
      <c r="E469" s="28">
        <f t="shared" ref="E469" si="356">+D469*0.05</f>
        <v>378.74549999999999</v>
      </c>
      <c r="F469" s="79">
        <f t="shared" si="351"/>
        <v>7574.91</v>
      </c>
      <c r="G469" s="79">
        <f t="shared" si="352"/>
        <v>7508.1575000000003</v>
      </c>
      <c r="H469" s="79">
        <f t="shared" si="353"/>
        <v>8057.8353846153832</v>
      </c>
      <c r="I469" s="79">
        <f>AVERAGE($F$447:F469)</f>
        <v>7408.9917391304343</v>
      </c>
      <c r="J469" s="84">
        <f t="shared" ref="J469" si="357">+I469*52</f>
        <v>385267.5704347826</v>
      </c>
      <c r="K469" s="79">
        <f t="shared" si="354"/>
        <v>347852.30000000005</v>
      </c>
      <c r="L469" s="85">
        <f t="shared" si="355"/>
        <v>1234.8319565217391</v>
      </c>
      <c r="M469" s="79">
        <f t="shared" ref="M469:M471" si="358">+M468+F469</f>
        <v>2346097.3759666681</v>
      </c>
    </row>
    <row r="470" spans="1:13" x14ac:dyDescent="0.2">
      <c r="A470" s="83">
        <v>42897</v>
      </c>
      <c r="B470" s="79">
        <v>0</v>
      </c>
      <c r="C470" s="79">
        <v>0</v>
      </c>
      <c r="D470" s="86">
        <v>8205.5300000000007</v>
      </c>
      <c r="E470" s="28">
        <f>+D470*0.05</f>
        <v>410.27650000000006</v>
      </c>
      <c r="F470" s="79">
        <f t="shared" ref="F470:F472" si="359">SUM(B470:D470)</f>
        <v>8205.5300000000007</v>
      </c>
      <c r="G470" s="79">
        <f t="shared" ref="G470:G472" si="360">AVERAGE(F467:F470)</f>
        <v>7415.5174999999999</v>
      </c>
      <c r="H470" s="79">
        <f t="shared" ref="H470:H472" si="361">AVERAGE(F458:F470)</f>
        <v>7918.8553846153827</v>
      </c>
      <c r="I470" s="79">
        <f>AVERAGE($F$447:F470)</f>
        <v>7442.1808333333329</v>
      </c>
      <c r="J470" s="84">
        <f>+I470*52</f>
        <v>386993.40333333332</v>
      </c>
      <c r="K470" s="79">
        <f t="shared" ref="K470:K472" si="362">SUM(F419:F470)</f>
        <v>350924.72000000009</v>
      </c>
      <c r="L470" s="85">
        <f t="shared" ref="L470:L472" si="363">+I470/6</f>
        <v>1240.3634722222221</v>
      </c>
      <c r="M470" s="79">
        <f t="shared" si="358"/>
        <v>2354302.9059666679</v>
      </c>
    </row>
    <row r="471" spans="1:13" x14ac:dyDescent="0.2">
      <c r="A471" s="83">
        <v>42904</v>
      </c>
      <c r="B471" s="79">
        <v>0</v>
      </c>
      <c r="C471" s="79">
        <v>0</v>
      </c>
      <c r="D471" s="86">
        <v>6029.44</v>
      </c>
      <c r="E471" s="28">
        <f>+D471*0.05</f>
        <v>301.47199999999998</v>
      </c>
      <c r="F471" s="79">
        <f t="shared" si="359"/>
        <v>6029.44</v>
      </c>
      <c r="G471" s="79">
        <f t="shared" si="360"/>
        <v>7211.6174999999994</v>
      </c>
      <c r="H471" s="79">
        <f t="shared" si="361"/>
        <v>7546.4007692307687</v>
      </c>
      <c r="I471" s="79">
        <f>AVERAGE($F$447:F471)</f>
        <v>7385.6711999999998</v>
      </c>
      <c r="J471" s="84">
        <f>+I471*52</f>
        <v>384054.90239999996</v>
      </c>
      <c r="K471" s="79">
        <f t="shared" si="362"/>
        <v>349792.72000000009</v>
      </c>
      <c r="L471" s="85">
        <f t="shared" si="363"/>
        <v>1230.9451999999999</v>
      </c>
      <c r="M471" s="79">
        <f t="shared" si="358"/>
        <v>2360332.3459666679</v>
      </c>
    </row>
    <row r="472" spans="1:13" x14ac:dyDescent="0.2">
      <c r="A472" s="83">
        <v>42911</v>
      </c>
      <c r="B472" s="79">
        <v>0</v>
      </c>
      <c r="C472" s="79">
        <v>0</v>
      </c>
      <c r="D472" s="86">
        <v>8652.57</v>
      </c>
      <c r="E472" s="28">
        <f t="shared" ref="E472" si="364">+D472*0.05</f>
        <v>432.62850000000003</v>
      </c>
      <c r="F472" s="79">
        <f t="shared" si="359"/>
        <v>8652.57</v>
      </c>
      <c r="G472" s="79">
        <f t="shared" si="360"/>
        <v>7615.6125000000002</v>
      </c>
      <c r="H472" s="79">
        <f t="shared" si="361"/>
        <v>7543.5653846153855</v>
      </c>
      <c r="I472" s="79">
        <f>AVERAGE($F$447:F472)</f>
        <v>7434.3980769230775</v>
      </c>
      <c r="J472" s="84">
        <f t="shared" ref="J472" si="365">+I472*52</f>
        <v>386588.7</v>
      </c>
      <c r="K472" s="79">
        <f t="shared" si="362"/>
        <v>352671.5500000001</v>
      </c>
      <c r="L472" s="85">
        <f t="shared" si="363"/>
        <v>1239.0663461538463</v>
      </c>
      <c r="M472" s="79">
        <f t="shared" ref="M472:M474" si="366">+M471+F472</f>
        <v>2368984.9159666677</v>
      </c>
    </row>
    <row r="473" spans="1:13" x14ac:dyDescent="0.2">
      <c r="A473" s="83">
        <v>42918</v>
      </c>
      <c r="B473" s="79">
        <v>0</v>
      </c>
      <c r="C473" s="79">
        <v>0</v>
      </c>
      <c r="D473" s="86">
        <v>6475.24</v>
      </c>
      <c r="E473" s="28">
        <f>+D473*0.05</f>
        <v>323.762</v>
      </c>
      <c r="F473" s="79">
        <f t="shared" ref="F473:F475" si="367">SUM(B473:D473)</f>
        <v>6475.24</v>
      </c>
      <c r="G473" s="79">
        <f t="shared" ref="G473:G475" si="368">AVERAGE(F470:F473)</f>
        <v>7340.6949999999997</v>
      </c>
      <c r="H473" s="79">
        <f t="shared" ref="H473:H475" si="369">AVERAGE(F461:F473)</f>
        <v>7581.3438461538472</v>
      </c>
      <c r="I473" s="79">
        <f>AVERAGE($F$447:F473)</f>
        <v>7398.8737037037035</v>
      </c>
      <c r="J473" s="84">
        <f>+I473*52</f>
        <v>384741.43259259261</v>
      </c>
      <c r="K473" s="79">
        <f t="shared" ref="K473:K475" si="370">SUM(F422:F473)</f>
        <v>353589.11000000004</v>
      </c>
      <c r="L473" s="85">
        <f t="shared" ref="L473:L475" si="371">+I473/6</f>
        <v>1233.1456172839505</v>
      </c>
      <c r="M473" s="79">
        <f t="shared" si="366"/>
        <v>2375460.1559666679</v>
      </c>
    </row>
    <row r="474" spans="1:13" x14ac:dyDescent="0.2">
      <c r="A474" s="83">
        <v>42925</v>
      </c>
      <c r="B474" s="79">
        <v>0</v>
      </c>
      <c r="C474" s="79">
        <v>0</v>
      </c>
      <c r="D474" s="86">
        <v>6173.69</v>
      </c>
      <c r="E474" s="28">
        <f>+D474*0.05</f>
        <v>308.68450000000001</v>
      </c>
      <c r="F474" s="79">
        <f t="shared" si="367"/>
        <v>6173.69</v>
      </c>
      <c r="G474" s="79">
        <f t="shared" si="368"/>
        <v>6832.7349999999997</v>
      </c>
      <c r="H474" s="79">
        <f t="shared" si="369"/>
        <v>7450.5638461538465</v>
      </c>
      <c r="I474" s="79">
        <f>AVERAGE($F$447:F474)</f>
        <v>7355.1171428571424</v>
      </c>
      <c r="J474" s="84">
        <f>+I474*52</f>
        <v>382466.09142857138</v>
      </c>
      <c r="K474" s="79">
        <f t="shared" si="370"/>
        <v>354380.86000000004</v>
      </c>
      <c r="L474" s="85">
        <f t="shared" si="371"/>
        <v>1225.8528571428571</v>
      </c>
      <c r="M474" s="79">
        <f t="shared" si="366"/>
        <v>2381633.8459666679</v>
      </c>
    </row>
    <row r="475" spans="1:13" x14ac:dyDescent="0.2">
      <c r="A475" s="83">
        <v>42932</v>
      </c>
      <c r="B475" s="79">
        <v>0</v>
      </c>
      <c r="C475" s="79">
        <v>0</v>
      </c>
      <c r="D475" s="86">
        <v>7695.63</v>
      </c>
      <c r="E475" s="28">
        <f t="shared" ref="E475" si="372">+D475*0.05</f>
        <v>384.78150000000005</v>
      </c>
      <c r="F475" s="79">
        <f t="shared" si="367"/>
        <v>7695.63</v>
      </c>
      <c r="G475" s="79">
        <f t="shared" si="368"/>
        <v>7249.2825000000003</v>
      </c>
      <c r="H475" s="79">
        <f t="shared" si="369"/>
        <v>7446.4292307692313</v>
      </c>
      <c r="I475" s="79">
        <f>AVERAGE($F$447:F475)</f>
        <v>7366.8589655172418</v>
      </c>
      <c r="J475" s="84">
        <f t="shared" ref="J475" si="373">+I475*52</f>
        <v>383076.6662068966</v>
      </c>
      <c r="K475" s="79">
        <f t="shared" si="370"/>
        <v>353181.09000000008</v>
      </c>
      <c r="L475" s="85">
        <f t="shared" si="371"/>
        <v>1227.8098275862069</v>
      </c>
      <c r="M475" s="79">
        <f t="shared" ref="M475:M477" si="374">+M474+F475</f>
        <v>2389329.4759666678</v>
      </c>
    </row>
    <row r="476" spans="1:13" x14ac:dyDescent="0.2">
      <c r="A476" s="83">
        <v>42939</v>
      </c>
      <c r="B476" s="79">
        <v>0</v>
      </c>
      <c r="C476" s="79">
        <v>0</v>
      </c>
      <c r="D476" s="86">
        <v>6808.51</v>
      </c>
      <c r="E476" s="28">
        <f>+D476*0.05</f>
        <v>340.42550000000006</v>
      </c>
      <c r="F476" s="79">
        <f t="shared" ref="F476:F478" si="375">SUM(B476:D476)</f>
        <v>6808.51</v>
      </c>
      <c r="G476" s="79">
        <f t="shared" ref="G476:G478" si="376">AVERAGE(F473:F476)</f>
        <v>6788.2674999999999</v>
      </c>
      <c r="H476" s="79">
        <f t="shared" ref="H476:H478" si="377">AVERAGE(F464:F476)</f>
        <v>7556.9915384615397</v>
      </c>
      <c r="I476" s="79">
        <f>AVERAGE($F$447:F476)</f>
        <v>7348.2473333333337</v>
      </c>
      <c r="J476" s="84">
        <f>+I476*52</f>
        <v>382108.86133333336</v>
      </c>
      <c r="K476" s="79">
        <f t="shared" ref="K476:K478" si="378">SUM(F425:F476)</f>
        <v>353723.2900000001</v>
      </c>
      <c r="L476" s="85">
        <f t="shared" ref="L476:L478" si="379">+I476/6</f>
        <v>1224.7078888888889</v>
      </c>
      <c r="M476" s="79">
        <f t="shared" si="374"/>
        <v>2396137.9859666675</v>
      </c>
    </row>
    <row r="477" spans="1:13" x14ac:dyDescent="0.2">
      <c r="A477" s="83">
        <v>42946</v>
      </c>
      <c r="B477" s="79">
        <v>0</v>
      </c>
      <c r="C477" s="79">
        <v>0</v>
      </c>
      <c r="D477" s="86">
        <v>5554.39</v>
      </c>
      <c r="E477" s="28">
        <f>+D477*0.05</f>
        <v>277.71950000000004</v>
      </c>
      <c r="F477" s="79">
        <f t="shared" si="375"/>
        <v>5554.39</v>
      </c>
      <c r="G477" s="79">
        <f t="shared" si="376"/>
        <v>6558.0550000000003</v>
      </c>
      <c r="H477" s="79">
        <f t="shared" si="377"/>
        <v>7184.7815384615387</v>
      </c>
      <c r="I477" s="79">
        <f>AVERAGE($F$447:F477)</f>
        <v>7290.3809677419367</v>
      </c>
      <c r="J477" s="84">
        <f>+I477*52</f>
        <v>379099.81032258068</v>
      </c>
      <c r="K477" s="79">
        <f t="shared" si="378"/>
        <v>353963.09000000008</v>
      </c>
      <c r="L477" s="85">
        <f t="shared" si="379"/>
        <v>1215.0634946236562</v>
      </c>
      <c r="M477" s="79">
        <f t="shared" si="374"/>
        <v>2401692.3759666677</v>
      </c>
    </row>
    <row r="478" spans="1:13" x14ac:dyDescent="0.2">
      <c r="A478" s="83">
        <v>42953</v>
      </c>
      <c r="B478" s="79">
        <v>0</v>
      </c>
      <c r="C478" s="79">
        <v>0</v>
      </c>
      <c r="D478" s="86">
        <v>6334.82</v>
      </c>
      <c r="E478" s="28">
        <f t="shared" ref="E478" si="380">+D478*0.05</f>
        <v>316.74099999999999</v>
      </c>
      <c r="F478" s="79">
        <f t="shared" si="375"/>
        <v>6334.82</v>
      </c>
      <c r="G478" s="79">
        <f t="shared" si="376"/>
        <v>6598.3374999999996</v>
      </c>
      <c r="H478" s="79">
        <f t="shared" si="377"/>
        <v>7074.0346153846167</v>
      </c>
      <c r="I478" s="79">
        <f>AVERAGE($F$447:F478)</f>
        <v>7260.5196875000011</v>
      </c>
      <c r="J478" s="84">
        <f t="shared" ref="J478" si="381">+I478*52</f>
        <v>377547.02375000005</v>
      </c>
      <c r="K478" s="79">
        <f t="shared" si="378"/>
        <v>353224.66000000003</v>
      </c>
      <c r="L478" s="85">
        <f t="shared" si="379"/>
        <v>1210.0866145833336</v>
      </c>
      <c r="M478" s="79">
        <f t="shared" ref="M478:M480" si="382">+M477+F478</f>
        <v>2408027.1959666675</v>
      </c>
    </row>
    <row r="479" spans="1:13" x14ac:dyDescent="0.2">
      <c r="A479" s="83">
        <v>42960</v>
      </c>
      <c r="B479" s="79">
        <v>0</v>
      </c>
      <c r="C479" s="79">
        <v>0</v>
      </c>
      <c r="D479" s="86">
        <v>3285.76</v>
      </c>
      <c r="E479" s="28">
        <f>+D479*0.05</f>
        <v>164.28800000000001</v>
      </c>
      <c r="F479" s="79">
        <f t="shared" ref="F479:F481" si="383">SUM(B479:D479)</f>
        <v>3285.76</v>
      </c>
      <c r="G479" s="79">
        <f t="shared" ref="G479:G481" si="384">AVERAGE(F476:F479)</f>
        <v>5495.8700000000008</v>
      </c>
      <c r="H479" s="79">
        <f t="shared" ref="H479:H481" si="385">AVERAGE(F467:F479)</f>
        <v>6667.0861538461522</v>
      </c>
      <c r="I479" s="79">
        <f>AVERAGE($F$447:F479)</f>
        <v>7140.0724242424258</v>
      </c>
      <c r="J479" s="84">
        <f>+I479*52</f>
        <v>371283.76606060611</v>
      </c>
      <c r="K479" s="79">
        <f t="shared" ref="K479:K481" si="386">SUM(F428:F479)</f>
        <v>350645.49000000005</v>
      </c>
      <c r="L479" s="85">
        <f t="shared" ref="L479:L481" si="387">+I479/6</f>
        <v>1190.012070707071</v>
      </c>
      <c r="M479" s="79">
        <f t="shared" si="382"/>
        <v>2411312.9559666673</v>
      </c>
    </row>
    <row r="480" spans="1:13" x14ac:dyDescent="0.2">
      <c r="A480" s="83">
        <v>42967</v>
      </c>
      <c r="B480" s="79">
        <v>0</v>
      </c>
      <c r="C480" s="79">
        <v>0</v>
      </c>
      <c r="D480" s="86">
        <v>7240.75</v>
      </c>
      <c r="E480" s="28">
        <f>+D480*0.05</f>
        <v>362.03750000000002</v>
      </c>
      <c r="F480" s="79">
        <f t="shared" si="383"/>
        <v>7240.75</v>
      </c>
      <c r="G480" s="79">
        <f t="shared" si="384"/>
        <v>5603.93</v>
      </c>
      <c r="H480" s="79">
        <f t="shared" si="385"/>
        <v>6697.5253846153846</v>
      </c>
      <c r="I480" s="79">
        <f>AVERAGE($F$447:F480)</f>
        <v>7143.0335294117658</v>
      </c>
      <c r="J480" s="84">
        <f>+I480*52</f>
        <v>371437.74352941185</v>
      </c>
      <c r="K480" s="79">
        <f t="shared" si="386"/>
        <v>352722.9</v>
      </c>
      <c r="L480" s="85">
        <f t="shared" si="387"/>
        <v>1190.5055882352942</v>
      </c>
      <c r="M480" s="79">
        <f t="shared" si="382"/>
        <v>2418553.7059666673</v>
      </c>
    </row>
    <row r="481" spans="1:13" x14ac:dyDescent="0.2">
      <c r="A481" s="83">
        <v>42974</v>
      </c>
      <c r="B481" s="79">
        <v>0</v>
      </c>
      <c r="C481" s="79">
        <v>0</v>
      </c>
      <c r="D481" s="86">
        <v>7284.05</v>
      </c>
      <c r="E481" s="28">
        <f t="shared" ref="E481" si="388">+D481*0.05</f>
        <v>364.20250000000004</v>
      </c>
      <c r="F481" s="79">
        <f t="shared" si="383"/>
        <v>7284.05</v>
      </c>
      <c r="G481" s="79">
        <f t="shared" si="384"/>
        <v>6036.3450000000003</v>
      </c>
      <c r="H481" s="79">
        <f t="shared" si="385"/>
        <v>6716.5607692307694</v>
      </c>
      <c r="I481" s="79">
        <f>AVERAGE($F$447:F481)</f>
        <v>7147.0625714285725</v>
      </c>
      <c r="J481" s="84">
        <f t="shared" ref="J481" si="389">+I481*52</f>
        <v>371647.25371428579</v>
      </c>
      <c r="K481" s="79">
        <f t="shared" si="386"/>
        <v>354161.12000000005</v>
      </c>
      <c r="L481" s="85">
        <f t="shared" si="387"/>
        <v>1191.1770952380955</v>
      </c>
      <c r="M481" s="79">
        <f t="shared" ref="M481:M483" si="390">+M480+F481</f>
        <v>2425837.7559666671</v>
      </c>
    </row>
    <row r="482" spans="1:13" x14ac:dyDescent="0.2">
      <c r="A482" s="83">
        <v>42981</v>
      </c>
      <c r="B482" s="79">
        <v>0</v>
      </c>
      <c r="C482" s="79">
        <v>0</v>
      </c>
      <c r="D482" s="86">
        <v>4231.22</v>
      </c>
      <c r="E482" s="28">
        <f>+D482*0.05</f>
        <v>211.56100000000004</v>
      </c>
      <c r="F482" s="79">
        <f t="shared" ref="F482:F484" si="391">SUM(B482:D482)</f>
        <v>4231.22</v>
      </c>
      <c r="G482" s="79">
        <f t="shared" ref="G482:G484" si="392">AVERAGE(F479:F482)</f>
        <v>5510.4450000000006</v>
      </c>
      <c r="H482" s="79">
        <f t="shared" ref="H482:H484" si="393">AVERAGE(F470:F482)</f>
        <v>6459.3538461538465</v>
      </c>
      <c r="I482" s="79">
        <f>AVERAGE($F$447:F482)</f>
        <v>7066.0669444444457</v>
      </c>
      <c r="J482" s="84">
        <f>+I482*52</f>
        <v>367435.48111111118</v>
      </c>
      <c r="K482" s="79">
        <f t="shared" ref="K482:K484" si="394">SUM(F431:F482)</f>
        <v>352464.04000000004</v>
      </c>
      <c r="L482" s="85">
        <f t="shared" ref="L482:L484" si="395">+I482/6</f>
        <v>1177.6778240740744</v>
      </c>
      <c r="M482" s="79">
        <f t="shared" si="390"/>
        <v>2430068.9759666673</v>
      </c>
    </row>
    <row r="483" spans="1:13" x14ac:dyDescent="0.2">
      <c r="A483" s="83">
        <v>42988</v>
      </c>
      <c r="B483" s="79">
        <v>0</v>
      </c>
      <c r="C483" s="79">
        <v>0</v>
      </c>
      <c r="D483" s="86">
        <v>5359.09</v>
      </c>
      <c r="E483" s="28">
        <f>+D483*0.05</f>
        <v>267.9545</v>
      </c>
      <c r="F483" s="79">
        <f t="shared" si="391"/>
        <v>5359.09</v>
      </c>
      <c r="G483" s="79">
        <f t="shared" si="392"/>
        <v>6028.7775000000001</v>
      </c>
      <c r="H483" s="79">
        <f t="shared" si="393"/>
        <v>6240.3969230769235</v>
      </c>
      <c r="I483" s="79">
        <f>AVERAGE($F$447:F483)</f>
        <v>7019.9324324324334</v>
      </c>
      <c r="J483" s="84">
        <f>+I483*52</f>
        <v>365036.48648648651</v>
      </c>
      <c r="K483" s="79">
        <f t="shared" si="394"/>
        <v>352437.64</v>
      </c>
      <c r="L483" s="85">
        <f t="shared" si="395"/>
        <v>1169.9887387387389</v>
      </c>
      <c r="M483" s="79">
        <f t="shared" si="390"/>
        <v>2435428.0659666671</v>
      </c>
    </row>
    <row r="484" spans="1:13" x14ac:dyDescent="0.2">
      <c r="A484" s="83">
        <v>42995</v>
      </c>
      <c r="B484" s="79">
        <v>0</v>
      </c>
      <c r="C484" s="79">
        <v>0</v>
      </c>
      <c r="D484" s="86">
        <v>8178.29</v>
      </c>
      <c r="E484" s="28">
        <f t="shared" ref="E484" si="396">+D484*0.05</f>
        <v>408.91450000000003</v>
      </c>
      <c r="F484" s="79">
        <f t="shared" si="391"/>
        <v>8178.29</v>
      </c>
      <c r="G484" s="79">
        <f t="shared" si="392"/>
        <v>6263.1625000000004</v>
      </c>
      <c r="H484" s="79">
        <f t="shared" si="393"/>
        <v>6405.6930769230767</v>
      </c>
      <c r="I484" s="79">
        <f>AVERAGE($F$447:F484)</f>
        <v>7050.4155263157909</v>
      </c>
      <c r="J484" s="84">
        <f t="shared" ref="J484" si="397">+I484*52</f>
        <v>366621.6073684211</v>
      </c>
      <c r="K484" s="79">
        <f t="shared" si="394"/>
        <v>354750.96</v>
      </c>
      <c r="L484" s="85">
        <f t="shared" si="395"/>
        <v>1175.0692543859652</v>
      </c>
      <c r="M484" s="79">
        <f t="shared" ref="M484:M486" si="398">+M483+F484</f>
        <v>2443606.3559666672</v>
      </c>
    </row>
    <row r="485" spans="1:13" x14ac:dyDescent="0.2">
      <c r="A485" s="83">
        <v>43002</v>
      </c>
      <c r="B485" s="79">
        <v>0</v>
      </c>
      <c r="C485" s="79">
        <v>0</v>
      </c>
      <c r="D485" s="86">
        <v>5618.26</v>
      </c>
      <c r="E485" s="28">
        <f>+D485*0.05</f>
        <v>280.91300000000001</v>
      </c>
      <c r="F485" s="79">
        <f t="shared" ref="F485:F487" si="399">SUM(B485:D485)</f>
        <v>5618.26</v>
      </c>
      <c r="G485" s="79">
        <f t="shared" ref="G485:G487" si="400">AVERAGE(F482:F485)</f>
        <v>5846.7150000000001</v>
      </c>
      <c r="H485" s="79">
        <f t="shared" ref="H485:H487" si="401">AVERAGE(F473:F485)</f>
        <v>6172.2846153846149</v>
      </c>
      <c r="I485" s="79">
        <f>AVERAGE($F$447:F485)</f>
        <v>7013.6935897435906</v>
      </c>
      <c r="J485" s="84">
        <f>+I485*52</f>
        <v>364712.06666666671</v>
      </c>
      <c r="K485" s="79">
        <f t="shared" ref="K485:K487" si="402">SUM(F434:F485)</f>
        <v>355727.42</v>
      </c>
      <c r="L485" s="85">
        <f t="shared" ref="L485:L487" si="403">+I485/6</f>
        <v>1168.9489316239317</v>
      </c>
      <c r="M485" s="79">
        <f t="shared" si="398"/>
        <v>2449224.615966667</v>
      </c>
    </row>
    <row r="486" spans="1:13" x14ac:dyDescent="0.2">
      <c r="A486" s="83">
        <v>43009</v>
      </c>
      <c r="B486" s="79">
        <v>0</v>
      </c>
      <c r="C486" s="79">
        <v>0</v>
      </c>
      <c r="D486" s="86">
        <v>4576.09</v>
      </c>
      <c r="E486" s="28">
        <f>+D486*0.05</f>
        <v>228.80450000000002</v>
      </c>
      <c r="F486" s="79">
        <f t="shared" si="399"/>
        <v>4576.09</v>
      </c>
      <c r="G486" s="79">
        <f t="shared" si="400"/>
        <v>5932.9324999999999</v>
      </c>
      <c r="H486" s="79">
        <f t="shared" si="401"/>
        <v>6026.1961538461528</v>
      </c>
      <c r="I486" s="79">
        <f>AVERAGE($F$447:F486)</f>
        <v>6952.7535000000016</v>
      </c>
      <c r="J486" s="84">
        <f>+I486*52</f>
        <v>361543.18200000009</v>
      </c>
      <c r="K486" s="79">
        <f t="shared" si="402"/>
        <v>349714.87</v>
      </c>
      <c r="L486" s="85">
        <f t="shared" si="403"/>
        <v>1158.7922500000002</v>
      </c>
      <c r="M486" s="79">
        <f t="shared" si="398"/>
        <v>2453800.7059666668</v>
      </c>
    </row>
    <row r="487" spans="1:13" x14ac:dyDescent="0.2">
      <c r="A487" s="83">
        <v>43016</v>
      </c>
      <c r="B487" s="79">
        <v>0</v>
      </c>
      <c r="C487" s="79">
        <v>0</v>
      </c>
      <c r="D487" s="86">
        <v>4751.1000000000004</v>
      </c>
      <c r="E487" s="28">
        <f t="shared" ref="E487" si="404">+D487*0.05</f>
        <v>237.55500000000004</v>
      </c>
      <c r="F487" s="79">
        <f t="shared" si="399"/>
        <v>4751.1000000000004</v>
      </c>
      <c r="G487" s="79">
        <f t="shared" si="400"/>
        <v>5780.9349999999995</v>
      </c>
      <c r="H487" s="79">
        <f t="shared" si="401"/>
        <v>5916.7661538461543</v>
      </c>
      <c r="I487" s="79">
        <f>AVERAGE($F$447:F487)</f>
        <v>6899.0546341463423</v>
      </c>
      <c r="J487" s="84">
        <f t="shared" ref="J487" si="405">+I487*52</f>
        <v>358750.84097560978</v>
      </c>
      <c r="K487" s="79">
        <f t="shared" si="402"/>
        <v>346216.87000000005</v>
      </c>
      <c r="L487" s="85">
        <f t="shared" si="403"/>
        <v>1149.8424390243904</v>
      </c>
      <c r="M487" s="79">
        <f t="shared" ref="M487:M490" si="406">+M486+F487</f>
        <v>2458551.8059666669</v>
      </c>
    </row>
    <row r="488" spans="1:13" x14ac:dyDescent="0.2">
      <c r="A488" s="83">
        <v>43023</v>
      </c>
      <c r="B488" s="79">
        <v>0</v>
      </c>
      <c r="C488" s="79">
        <v>0</v>
      </c>
      <c r="D488" s="86">
        <v>4766.63</v>
      </c>
      <c r="E488" s="28">
        <f t="shared" ref="E488:E494" si="407">+D488*0.05</f>
        <v>238.33150000000001</v>
      </c>
      <c r="F488" s="79">
        <f t="shared" ref="F488:F490" si="408">SUM(B488:D488)</f>
        <v>4766.63</v>
      </c>
      <c r="G488" s="79">
        <f t="shared" ref="G488:G490" si="409">AVERAGE(F485:F488)</f>
        <v>4928.0200000000004</v>
      </c>
      <c r="H488" s="79">
        <f t="shared" ref="H488:H490" si="410">AVERAGE(F476:F488)</f>
        <v>5691.4584615384629</v>
      </c>
      <c r="I488" s="79">
        <f>AVERAGE($F$447:F488)</f>
        <v>6848.2826190476208</v>
      </c>
      <c r="J488" s="84">
        <f t="shared" ref="J488:J494" si="411">+I488*52</f>
        <v>356110.6961904763</v>
      </c>
      <c r="K488" s="79">
        <f t="shared" ref="K488:K490" si="412">SUM(F437:F488)</f>
        <v>344656.57</v>
      </c>
      <c r="L488" s="85">
        <f t="shared" ref="L488:L490" si="413">+I488/6</f>
        <v>1141.3804365079368</v>
      </c>
      <c r="M488" s="79">
        <f t="shared" si="406"/>
        <v>2463318.4359666668</v>
      </c>
    </row>
    <row r="489" spans="1:13" x14ac:dyDescent="0.2">
      <c r="A489" s="83">
        <v>43030</v>
      </c>
      <c r="B489" s="79">
        <v>0</v>
      </c>
      <c r="C489" s="79">
        <v>0</v>
      </c>
      <c r="D489" s="86">
        <v>3565.64</v>
      </c>
      <c r="E489" s="28">
        <f t="shared" si="407"/>
        <v>178.28200000000001</v>
      </c>
      <c r="F489" s="79">
        <f t="shared" si="408"/>
        <v>3565.64</v>
      </c>
      <c r="G489" s="79">
        <f t="shared" si="409"/>
        <v>4414.8649999999998</v>
      </c>
      <c r="H489" s="79">
        <f t="shared" si="410"/>
        <v>5442.0069230769232</v>
      </c>
      <c r="I489" s="79">
        <f>AVERAGE($F$447:F489)</f>
        <v>6771.9420930232573</v>
      </c>
      <c r="J489" s="84">
        <f t="shared" si="411"/>
        <v>352140.98883720936</v>
      </c>
      <c r="K489" s="79">
        <f t="shared" si="412"/>
        <v>341228.74000000005</v>
      </c>
      <c r="L489" s="85">
        <f t="shared" si="413"/>
        <v>1128.6570155038762</v>
      </c>
      <c r="M489" s="79">
        <f t="shared" si="406"/>
        <v>2466884.0759666669</v>
      </c>
    </row>
    <row r="490" spans="1:13" x14ac:dyDescent="0.2">
      <c r="A490" s="83">
        <v>43037</v>
      </c>
      <c r="B490" s="79">
        <v>0</v>
      </c>
      <c r="C490" s="79">
        <v>0</v>
      </c>
      <c r="D490" s="86">
        <v>6274.51</v>
      </c>
      <c r="E490" s="28">
        <f t="shared" si="407"/>
        <v>313.72550000000001</v>
      </c>
      <c r="F490" s="79">
        <f t="shared" si="408"/>
        <v>6274.51</v>
      </c>
      <c r="G490" s="79">
        <f t="shared" si="409"/>
        <v>4839.4699999999993</v>
      </c>
      <c r="H490" s="79">
        <f t="shared" si="410"/>
        <v>5497.4007692307687</v>
      </c>
      <c r="I490" s="79">
        <f>AVERAGE($F$447:F490)</f>
        <v>6760.6368181818198</v>
      </c>
      <c r="J490" s="84">
        <f t="shared" si="411"/>
        <v>351553.11454545462</v>
      </c>
      <c r="K490" s="79">
        <f t="shared" si="412"/>
        <v>340317.25000000006</v>
      </c>
      <c r="L490" s="85">
        <f t="shared" si="413"/>
        <v>1126.7728030303033</v>
      </c>
      <c r="M490" s="79">
        <f t="shared" si="406"/>
        <v>2473158.5859666667</v>
      </c>
    </row>
    <row r="491" spans="1:13" x14ac:dyDescent="0.2">
      <c r="A491" s="83">
        <v>43044</v>
      </c>
      <c r="B491" s="79">
        <v>0</v>
      </c>
      <c r="C491" s="79">
        <v>0</v>
      </c>
      <c r="D491" s="86">
        <v>4125.62</v>
      </c>
      <c r="E491" s="28">
        <f t="shared" si="407"/>
        <v>206.28100000000001</v>
      </c>
      <c r="F491" s="79">
        <f t="shared" ref="F491:F493" si="414">SUM(B491:D491)</f>
        <v>4125.62</v>
      </c>
      <c r="G491" s="79">
        <f t="shared" ref="G491:G493" si="415">AVERAGE(F488:F491)</f>
        <v>4683.1000000000004</v>
      </c>
      <c r="H491" s="79">
        <f t="shared" ref="H491:H493" si="416">AVERAGE(F479:F491)</f>
        <v>5327.4623076923081</v>
      </c>
      <c r="I491" s="79">
        <f>AVERAGE($F$447:F491)</f>
        <v>6702.0808888888905</v>
      </c>
      <c r="J491" s="84">
        <f t="shared" si="411"/>
        <v>348508.2062222223</v>
      </c>
      <c r="K491" s="79">
        <f t="shared" ref="K491:K493" si="417">SUM(F440:F491)</f>
        <v>336930.34</v>
      </c>
      <c r="L491" s="85">
        <f t="shared" ref="L491:L493" si="418">+I491/6</f>
        <v>1117.0134814814817</v>
      </c>
      <c r="M491" s="79">
        <f t="shared" ref="M491:M493" si="419">+M490+F491</f>
        <v>2477284.2059666668</v>
      </c>
    </row>
    <row r="492" spans="1:13" x14ac:dyDescent="0.2">
      <c r="A492" s="83">
        <v>43051</v>
      </c>
      <c r="B492" s="79">
        <v>0</v>
      </c>
      <c r="C492" s="79">
        <v>0</v>
      </c>
      <c r="D492" s="86">
        <v>8000.77</v>
      </c>
      <c r="E492" s="28">
        <f t="shared" si="407"/>
        <v>400.03850000000006</v>
      </c>
      <c r="F492" s="79">
        <f t="shared" si="414"/>
        <v>8000.77</v>
      </c>
      <c r="G492" s="79">
        <f t="shared" si="415"/>
        <v>5491.6350000000002</v>
      </c>
      <c r="H492" s="79">
        <f t="shared" si="416"/>
        <v>5690.1553846153847</v>
      </c>
      <c r="I492" s="79">
        <f>AVERAGE($F$447:F492)</f>
        <v>6730.3132608695669</v>
      </c>
      <c r="J492" s="84">
        <f t="shared" si="411"/>
        <v>349976.28956521745</v>
      </c>
      <c r="K492" s="79">
        <f t="shared" si="417"/>
        <v>340156.43000000005</v>
      </c>
      <c r="L492" s="85">
        <f t="shared" si="418"/>
        <v>1121.7188768115946</v>
      </c>
      <c r="M492" s="79">
        <f t="shared" si="419"/>
        <v>2485284.9759666668</v>
      </c>
    </row>
    <row r="493" spans="1:13" x14ac:dyDescent="0.2">
      <c r="A493" s="83">
        <v>43058</v>
      </c>
      <c r="B493" s="79">
        <v>0</v>
      </c>
      <c r="C493" s="79">
        <v>0</v>
      </c>
      <c r="D493" s="86">
        <v>4772.68</v>
      </c>
      <c r="E493" s="28">
        <f t="shared" si="407"/>
        <v>238.63400000000001</v>
      </c>
      <c r="F493" s="79">
        <f t="shared" si="414"/>
        <v>4772.68</v>
      </c>
      <c r="G493" s="79">
        <f t="shared" si="415"/>
        <v>5793.3950000000004</v>
      </c>
      <c r="H493" s="79">
        <f t="shared" si="416"/>
        <v>5500.3038461538472</v>
      </c>
      <c r="I493" s="79">
        <f>AVERAGE($F$447:F493)</f>
        <v>6688.6614893617043</v>
      </c>
      <c r="J493" s="84">
        <f t="shared" si="411"/>
        <v>347810.39744680864</v>
      </c>
      <c r="K493" s="79">
        <f t="shared" si="417"/>
        <v>340842.60000000003</v>
      </c>
      <c r="L493" s="85">
        <f t="shared" si="418"/>
        <v>1114.7769148936175</v>
      </c>
      <c r="M493" s="79">
        <f t="shared" si="419"/>
        <v>2490057.655966667</v>
      </c>
    </row>
    <row r="494" spans="1:13" x14ac:dyDescent="0.2">
      <c r="A494" s="83">
        <v>43065</v>
      </c>
      <c r="B494" s="79">
        <v>0</v>
      </c>
      <c r="C494" s="79">
        <v>0</v>
      </c>
      <c r="D494" s="106">
        <v>4152.6099999999997</v>
      </c>
      <c r="E494" s="28">
        <f t="shared" si="407"/>
        <v>207.63049999999998</v>
      </c>
      <c r="F494" s="79">
        <f t="shared" ref="F494:F496" si="420">SUM(B494:D494)</f>
        <v>4152.6099999999997</v>
      </c>
      <c r="G494" s="79">
        <f t="shared" ref="G494:G496" si="421">AVERAGE(F491:F494)</f>
        <v>5262.92</v>
      </c>
      <c r="H494" s="79">
        <f t="shared" ref="H494:H496" si="422">AVERAGE(F482:F494)</f>
        <v>5259.4238461538462</v>
      </c>
      <c r="I494" s="79">
        <f>AVERAGE($F$447:F494)</f>
        <v>6635.8270833333345</v>
      </c>
      <c r="J494" s="84">
        <f t="shared" si="411"/>
        <v>345063.00833333342</v>
      </c>
      <c r="K494" s="79">
        <f t="shared" ref="K494:K496" si="423">SUM(F443:F494)</f>
        <v>340248.59</v>
      </c>
      <c r="L494" s="85">
        <f t="shared" ref="L494:L496" si="424">+I494/6</f>
        <v>1105.9711805555557</v>
      </c>
      <c r="M494" s="79">
        <f t="shared" ref="M494:M496" si="425">+M493+F494</f>
        <v>2494210.2659666669</v>
      </c>
    </row>
    <row r="495" spans="1:13" x14ac:dyDescent="0.2">
      <c r="A495" s="83">
        <v>43072</v>
      </c>
      <c r="B495" s="79">
        <v>0</v>
      </c>
      <c r="C495" s="79">
        <v>0</v>
      </c>
      <c r="D495" s="86">
        <v>5373.06</v>
      </c>
      <c r="E495" s="28">
        <f t="shared" ref="E495:E497" si="426">+D495*0.05</f>
        <v>268.65300000000002</v>
      </c>
      <c r="F495" s="79">
        <f t="shared" si="420"/>
        <v>5373.06</v>
      </c>
      <c r="G495" s="79">
        <f t="shared" si="421"/>
        <v>5574.7800000000007</v>
      </c>
      <c r="H495" s="79">
        <f t="shared" si="422"/>
        <v>5347.2576923076931</v>
      </c>
      <c r="I495" s="79">
        <f>AVERAGE($F$447:F495)</f>
        <v>6610.0563265306137</v>
      </c>
      <c r="J495" s="84">
        <f t="shared" ref="J495:J497" si="427">+I495*52</f>
        <v>343722.92897959193</v>
      </c>
      <c r="K495" s="79">
        <f t="shared" si="423"/>
        <v>339146.22000000009</v>
      </c>
      <c r="L495" s="85">
        <f t="shared" si="424"/>
        <v>1101.6760544217689</v>
      </c>
      <c r="M495" s="79">
        <f t="shared" si="425"/>
        <v>2499583.3259666669</v>
      </c>
    </row>
    <row r="496" spans="1:13" x14ac:dyDescent="0.2">
      <c r="A496" s="83">
        <v>43079</v>
      </c>
      <c r="B496" s="79">
        <v>0</v>
      </c>
      <c r="C496" s="79">
        <v>0</v>
      </c>
      <c r="D496" s="86">
        <v>3381.97</v>
      </c>
      <c r="E496" s="28">
        <f t="shared" si="426"/>
        <v>169.0985</v>
      </c>
      <c r="F496" s="79">
        <f t="shared" si="420"/>
        <v>3381.97</v>
      </c>
      <c r="G496" s="79">
        <f t="shared" si="421"/>
        <v>4420.0800000000008</v>
      </c>
      <c r="H496" s="79">
        <f t="shared" si="422"/>
        <v>5195.1715384615381</v>
      </c>
      <c r="I496" s="79">
        <f>AVERAGE($F$447:F496)</f>
        <v>6545.4946000000009</v>
      </c>
      <c r="J496" s="84">
        <f t="shared" si="427"/>
        <v>340365.71920000005</v>
      </c>
      <c r="K496" s="79">
        <f t="shared" si="423"/>
        <v>337802.60000000003</v>
      </c>
      <c r="L496" s="85">
        <f t="shared" si="424"/>
        <v>1090.9157666666667</v>
      </c>
      <c r="M496" s="79">
        <f t="shared" si="425"/>
        <v>2502965.2959666671</v>
      </c>
    </row>
    <row r="497" spans="1:20" x14ac:dyDescent="0.2">
      <c r="A497" s="83">
        <v>43086</v>
      </c>
      <c r="B497" s="79">
        <v>0</v>
      </c>
      <c r="C497" s="79">
        <v>0</v>
      </c>
      <c r="D497" s="86">
        <v>5411.51</v>
      </c>
      <c r="E497" s="28">
        <f t="shared" si="426"/>
        <v>270.57550000000003</v>
      </c>
      <c r="F497" s="79">
        <f t="shared" ref="F497:F499" si="428">SUM(B497:D497)</f>
        <v>5411.51</v>
      </c>
      <c r="G497" s="79">
        <f t="shared" ref="G497:G499" si="429">AVERAGE(F494:F497)</f>
        <v>4579.7875000000004</v>
      </c>
      <c r="H497" s="79">
        <f t="shared" ref="H497:H499" si="430">AVERAGE(F485:F497)</f>
        <v>4982.3423076923082</v>
      </c>
      <c r="I497" s="79">
        <f>AVERAGE($F$447:F497)</f>
        <v>6523.2596078431379</v>
      </c>
      <c r="J497" s="84">
        <f t="shared" si="427"/>
        <v>339209.49960784317</v>
      </c>
      <c r="K497" s="79">
        <f t="shared" ref="K497:K499" si="431">SUM(F446:F497)</f>
        <v>336825.53</v>
      </c>
      <c r="L497" s="85">
        <f t="shared" ref="L497:L499" si="432">+I497/6</f>
        <v>1087.209934640523</v>
      </c>
      <c r="M497" s="79">
        <f t="shared" ref="M497:M499" si="433">+M496+F497</f>
        <v>2508376.8059666669</v>
      </c>
      <c r="P497" s="104" t="s">
        <v>157</v>
      </c>
      <c r="Q497" s="104" t="s">
        <v>158</v>
      </c>
      <c r="R497" s="104" t="s">
        <v>159</v>
      </c>
    </row>
    <row r="498" spans="1:20" x14ac:dyDescent="0.2">
      <c r="A498" s="83">
        <v>43093</v>
      </c>
      <c r="B498" s="79">
        <v>0</v>
      </c>
      <c r="C498" s="79">
        <v>0</v>
      </c>
      <c r="D498" s="86">
        <v>5273.8</v>
      </c>
      <c r="E498" s="28">
        <f t="shared" ref="E498:E500" si="434">+D498*0.05</f>
        <v>263.69</v>
      </c>
      <c r="F498" s="79">
        <f t="shared" si="428"/>
        <v>5273.8</v>
      </c>
      <c r="G498" s="79">
        <f t="shared" si="429"/>
        <v>4860.085</v>
      </c>
      <c r="H498" s="79">
        <f t="shared" si="430"/>
        <v>4955.8453846153852</v>
      </c>
      <c r="I498" s="79">
        <f>AVERAGE($F$447:F498)</f>
        <v>6499.2315384615395</v>
      </c>
      <c r="J498" s="84">
        <f t="shared" ref="J498:J500" si="435">+I498*52</f>
        <v>337960.04000000004</v>
      </c>
      <c r="K498" s="79">
        <f t="shared" si="431"/>
        <v>337960.04000000004</v>
      </c>
      <c r="L498" s="85">
        <f t="shared" si="432"/>
        <v>1083.2052564102567</v>
      </c>
      <c r="M498" s="79">
        <f t="shared" si="433"/>
        <v>2513650.6059666667</v>
      </c>
      <c r="O498" s="77">
        <v>470</v>
      </c>
      <c r="P498" s="105">
        <f>SUM(P499:P503)</f>
        <v>1815</v>
      </c>
      <c r="Q498" s="85">
        <f>(+P498*12)/52</f>
        <v>418.84615384615387</v>
      </c>
      <c r="R498" s="85">
        <f>+Q498/6</f>
        <v>69.807692307692307</v>
      </c>
    </row>
    <row r="499" spans="1:20" x14ac:dyDescent="0.2">
      <c r="A499" s="83">
        <v>43100</v>
      </c>
      <c r="B499" s="79">
        <v>0</v>
      </c>
      <c r="C499" s="79">
        <v>0</v>
      </c>
      <c r="D499" s="86">
        <v>2428.92</v>
      </c>
      <c r="E499" s="28">
        <f t="shared" si="434"/>
        <v>121.44600000000001</v>
      </c>
      <c r="F499" s="79">
        <f t="shared" si="428"/>
        <v>2428.92</v>
      </c>
      <c r="G499" s="79">
        <f t="shared" si="429"/>
        <v>4124.0499999999993</v>
      </c>
      <c r="H499" s="79">
        <f t="shared" si="430"/>
        <v>4790.6784615384613</v>
      </c>
      <c r="I499" s="79">
        <f>AVERAGE($F$447:F499)</f>
        <v>6422.4332075471702</v>
      </c>
      <c r="J499" s="84">
        <f t="shared" si="435"/>
        <v>333966.52679245285</v>
      </c>
      <c r="K499" s="112">
        <f t="shared" si="431"/>
        <v>332532.99</v>
      </c>
      <c r="L499" s="113">
        <f t="shared" si="432"/>
        <v>1070.405534591195</v>
      </c>
      <c r="M499" s="79">
        <f t="shared" si="433"/>
        <v>2516079.5259666666</v>
      </c>
      <c r="O499" s="77" t="s">
        <v>160</v>
      </c>
      <c r="P499" s="85">
        <v>1200</v>
      </c>
    </row>
    <row r="500" spans="1:20" x14ac:dyDescent="0.2">
      <c r="A500" s="83">
        <v>43107</v>
      </c>
      <c r="B500" s="79">
        <v>0</v>
      </c>
      <c r="C500" s="79">
        <v>0</v>
      </c>
      <c r="D500" s="86">
        <v>2648.87</v>
      </c>
      <c r="E500" s="28">
        <f t="shared" si="434"/>
        <v>132.4435</v>
      </c>
      <c r="F500" s="79">
        <f t="shared" ref="F500:F503" si="436">SUM(B500:D500)</f>
        <v>2648.87</v>
      </c>
      <c r="G500" s="79">
        <f t="shared" ref="G500:G503" si="437">AVERAGE(F497:F500)</f>
        <v>3940.7750000000005</v>
      </c>
      <c r="H500" s="79">
        <f t="shared" ref="H500:H503" si="438">AVERAGE(F488:F500)</f>
        <v>4628.9684615384622</v>
      </c>
      <c r="I500" s="79">
        <f>AVERAGE($F$447:F500)</f>
        <v>6352.5524074074074</v>
      </c>
      <c r="J500" s="84">
        <f t="shared" si="435"/>
        <v>330332.72518518521</v>
      </c>
      <c r="K500" s="79">
        <f t="shared" ref="K500:K503" si="439">SUM(F449:F500)</f>
        <v>329938.53000000003</v>
      </c>
      <c r="L500" s="85">
        <f t="shared" ref="L500:L503" si="440">+I500/6</f>
        <v>1058.7587345679012</v>
      </c>
      <c r="M500" s="79">
        <f t="shared" ref="M500:M503" si="441">+M499+F500</f>
        <v>2518728.3959666668</v>
      </c>
      <c r="O500" s="77" t="s">
        <v>161</v>
      </c>
      <c r="P500" s="85">
        <v>255</v>
      </c>
    </row>
    <row r="501" spans="1:20" x14ac:dyDescent="0.2">
      <c r="A501" s="83">
        <v>43114</v>
      </c>
      <c r="B501" s="79">
        <v>0</v>
      </c>
      <c r="C501" s="79">
        <v>0</v>
      </c>
      <c r="D501" s="86">
        <v>6686.08</v>
      </c>
      <c r="E501" s="28">
        <f t="shared" ref="E501:E503" si="442">+D501*0.05</f>
        <v>334.30400000000003</v>
      </c>
      <c r="F501" s="79">
        <f t="shared" si="436"/>
        <v>6686.08</v>
      </c>
      <c r="G501" s="79">
        <f t="shared" si="437"/>
        <v>4259.4174999999996</v>
      </c>
      <c r="H501" s="79">
        <f t="shared" si="438"/>
        <v>4776.6184615384618</v>
      </c>
      <c r="I501" s="79">
        <f>AVERAGE($F$447:F501)</f>
        <v>6358.6165454545462</v>
      </c>
      <c r="J501" s="84">
        <f t="shared" ref="J501:J503" si="443">+I501*52</f>
        <v>330648.06036363641</v>
      </c>
      <c r="K501" s="79">
        <f t="shared" si="439"/>
        <v>331113.32</v>
      </c>
      <c r="L501" s="85">
        <f t="shared" si="440"/>
        <v>1059.7694242424243</v>
      </c>
      <c r="M501" s="79">
        <f t="shared" si="441"/>
        <v>2525414.4759666668</v>
      </c>
      <c r="O501" s="77" t="s">
        <v>162</v>
      </c>
      <c r="P501" s="85">
        <v>75</v>
      </c>
    </row>
    <row r="502" spans="1:20" x14ac:dyDescent="0.2">
      <c r="A502" s="83">
        <v>43121</v>
      </c>
      <c r="B502" s="79">
        <v>0</v>
      </c>
      <c r="C502" s="79">
        <v>0</v>
      </c>
      <c r="D502" s="86">
        <v>5409.83</v>
      </c>
      <c r="E502" s="28">
        <f t="shared" si="442"/>
        <v>270.49150000000003</v>
      </c>
      <c r="F502" s="79">
        <f t="shared" si="436"/>
        <v>5409.83</v>
      </c>
      <c r="G502" s="79">
        <f t="shared" si="437"/>
        <v>4293.4249999999993</v>
      </c>
      <c r="H502" s="79">
        <f t="shared" si="438"/>
        <v>4918.4792307692314</v>
      </c>
      <c r="I502" s="79">
        <f>AVERAGE($F$447:F502)</f>
        <v>6341.6739285714293</v>
      </c>
      <c r="J502" s="84">
        <f t="shared" si="443"/>
        <v>329767.04428571434</v>
      </c>
      <c r="K502" s="79">
        <f t="shared" si="439"/>
        <v>330868.66000000003</v>
      </c>
      <c r="L502" s="85">
        <f t="shared" si="440"/>
        <v>1056.945654761905</v>
      </c>
      <c r="M502" s="79">
        <f t="shared" si="441"/>
        <v>2530824.3059666669</v>
      </c>
      <c r="O502" s="77" t="s">
        <v>163</v>
      </c>
      <c r="P502" s="85">
        <v>140</v>
      </c>
    </row>
    <row r="503" spans="1:20" x14ac:dyDescent="0.2">
      <c r="A503" s="83">
        <v>43128</v>
      </c>
      <c r="B503" s="79">
        <v>0</v>
      </c>
      <c r="C503" s="79">
        <v>0</v>
      </c>
      <c r="D503" s="86">
        <v>3994.09</v>
      </c>
      <c r="E503" s="28">
        <f t="shared" si="442"/>
        <v>199.70450000000002</v>
      </c>
      <c r="F503" s="79">
        <f t="shared" si="436"/>
        <v>3994.09</v>
      </c>
      <c r="G503" s="79">
        <f t="shared" si="437"/>
        <v>4684.7175000000007</v>
      </c>
      <c r="H503" s="79">
        <f t="shared" si="438"/>
        <v>4743.0623076923084</v>
      </c>
      <c r="I503" s="79">
        <f>AVERAGE($F$447:F503)</f>
        <v>6300.4882456140367</v>
      </c>
      <c r="J503" s="84">
        <f t="shared" si="443"/>
        <v>327625.38877192989</v>
      </c>
      <c r="K503" s="79">
        <f t="shared" si="439"/>
        <v>328397.57000000007</v>
      </c>
      <c r="L503" s="85">
        <f t="shared" si="440"/>
        <v>1050.0813742690061</v>
      </c>
      <c r="M503" s="79">
        <f t="shared" si="441"/>
        <v>2534818.3959666668</v>
      </c>
      <c r="O503" s="107" t="s">
        <v>164</v>
      </c>
      <c r="P503" s="108">
        <v>145</v>
      </c>
      <c r="Q503" s="107"/>
      <c r="R503" s="107"/>
    </row>
    <row r="504" spans="1:20" x14ac:dyDescent="0.2">
      <c r="A504" s="83">
        <v>43135</v>
      </c>
      <c r="B504" s="79">
        <v>0</v>
      </c>
      <c r="C504" s="79">
        <v>0</v>
      </c>
      <c r="D504" s="86">
        <v>6139.7</v>
      </c>
      <c r="E504" s="28">
        <f t="shared" ref="E504:E506" si="444">+D504*0.05</f>
        <v>306.98500000000001</v>
      </c>
      <c r="F504" s="79">
        <f t="shared" ref="F504:F506" si="445">SUM(B504:D504)</f>
        <v>6139.7</v>
      </c>
      <c r="G504" s="79">
        <f t="shared" ref="G504:G506" si="446">AVERAGE(F501:F504)</f>
        <v>5557.4250000000002</v>
      </c>
      <c r="H504" s="79">
        <f t="shared" ref="H504:H506" si="447">AVERAGE(F492:F504)</f>
        <v>4897.9915384615397</v>
      </c>
      <c r="I504" s="79">
        <f>AVERAGE($F$447:F504)</f>
        <v>6297.7160344827598</v>
      </c>
      <c r="J504" s="84">
        <f t="shared" ref="J504:J506" si="448">+I504*52</f>
        <v>327481.23379310349</v>
      </c>
      <c r="K504" s="79">
        <f t="shared" ref="K504:K506" si="449">SUM(F453:F504)</f>
        <v>329405.60000000009</v>
      </c>
      <c r="L504" s="85">
        <f t="shared" ref="L504:L506" si="450">+I504/6</f>
        <v>1049.6193390804599</v>
      </c>
      <c r="M504" s="79">
        <f t="shared" ref="M504:M506" si="451">+M503+F504</f>
        <v>2540958.0959666669</v>
      </c>
      <c r="P504" s="105">
        <f>SUM(P505:P511)</f>
        <v>1370</v>
      </c>
      <c r="Q504" s="85">
        <f>(P504*12)/52</f>
        <v>316.15384615384613</v>
      </c>
      <c r="R504" s="85">
        <f>+Q504/6</f>
        <v>52.692307692307686</v>
      </c>
    </row>
    <row r="505" spans="1:20" x14ac:dyDescent="0.2">
      <c r="A505" s="83">
        <v>43142</v>
      </c>
      <c r="B505" s="79">
        <v>0</v>
      </c>
      <c r="C505" s="79">
        <v>0</v>
      </c>
      <c r="D505" s="86">
        <v>2923.38</v>
      </c>
      <c r="E505" s="28">
        <f t="shared" si="444"/>
        <v>146.16900000000001</v>
      </c>
      <c r="F505" s="79">
        <f t="shared" si="445"/>
        <v>2923.38</v>
      </c>
      <c r="G505" s="79">
        <f t="shared" si="446"/>
        <v>4616.75</v>
      </c>
      <c r="H505" s="79">
        <f t="shared" si="447"/>
        <v>4507.4230769230771</v>
      </c>
      <c r="I505" s="79">
        <f>AVERAGE($F$447:F505)</f>
        <v>6240.5238983050867</v>
      </c>
      <c r="J505" s="84">
        <f t="shared" si="448"/>
        <v>324507.24271186453</v>
      </c>
      <c r="K505" s="79">
        <f t="shared" si="449"/>
        <v>325486.94000000006</v>
      </c>
      <c r="L505" s="85">
        <f t="shared" si="450"/>
        <v>1040.0873163841811</v>
      </c>
      <c r="M505" s="79">
        <f t="shared" si="451"/>
        <v>2543881.4759666668</v>
      </c>
      <c r="O505" s="77" t="s">
        <v>165</v>
      </c>
      <c r="P505" s="85">
        <v>525</v>
      </c>
    </row>
    <row r="506" spans="1:20" x14ac:dyDescent="0.2">
      <c r="A506" s="83">
        <v>43149</v>
      </c>
      <c r="B506" s="79">
        <v>0</v>
      </c>
      <c r="C506" s="79">
        <v>0</v>
      </c>
      <c r="D506" s="86">
        <v>6592.37</v>
      </c>
      <c r="E506" s="28">
        <f t="shared" si="444"/>
        <v>329.61850000000004</v>
      </c>
      <c r="F506" s="79">
        <f t="shared" si="445"/>
        <v>6592.37</v>
      </c>
      <c r="G506" s="79">
        <f t="shared" si="446"/>
        <v>4912.3850000000002</v>
      </c>
      <c r="H506" s="79">
        <f t="shared" si="447"/>
        <v>4647.3992307692306</v>
      </c>
      <c r="I506" s="79">
        <f>AVERAGE($F$447:F506)</f>
        <v>6246.3880000000017</v>
      </c>
      <c r="J506" s="84">
        <f t="shared" si="448"/>
        <v>324812.17600000009</v>
      </c>
      <c r="K506" s="79">
        <f t="shared" si="449"/>
        <v>323943.53000000003</v>
      </c>
      <c r="L506" s="85">
        <f t="shared" si="450"/>
        <v>1041.0646666666669</v>
      </c>
      <c r="M506" s="79">
        <f t="shared" si="451"/>
        <v>2550473.8459666669</v>
      </c>
      <c r="O506" s="77" t="s">
        <v>166</v>
      </c>
      <c r="P506" s="85">
        <v>25</v>
      </c>
    </row>
    <row r="507" spans="1:20" x14ac:dyDescent="0.2">
      <c r="A507" s="83">
        <v>43156</v>
      </c>
      <c r="B507" s="79">
        <v>0</v>
      </c>
      <c r="C507" s="79">
        <v>0</v>
      </c>
      <c r="D507" s="86">
        <v>4824.12</v>
      </c>
      <c r="E507" s="28">
        <f t="shared" ref="E507:E509" si="452">+D507*0.05</f>
        <v>241.20600000000002</v>
      </c>
      <c r="F507" s="79">
        <f t="shared" ref="F507:F509" si="453">SUM(B507:D507)</f>
        <v>4824.12</v>
      </c>
      <c r="G507" s="79">
        <f t="shared" ref="G507:G509" si="454">AVERAGE(F504:F507)</f>
        <v>5119.8924999999999</v>
      </c>
      <c r="H507" s="79">
        <f t="shared" ref="H507:H509" si="455">AVERAGE(F495:F507)</f>
        <v>4699.0538461538463</v>
      </c>
      <c r="I507" s="79">
        <f>AVERAGE($F$447:F507)</f>
        <v>6223.0721311475427</v>
      </c>
      <c r="J507" s="84">
        <f t="shared" ref="J507:J509" si="456">+I507*52</f>
        <v>323599.75081967225</v>
      </c>
      <c r="K507" s="79">
        <f t="shared" ref="K507:K509" si="457">SUM(F456:F507)</f>
        <v>320939.05000000005</v>
      </c>
      <c r="L507" s="85">
        <f t="shared" ref="L507:L509" si="458">+I507/6</f>
        <v>1037.1786885245904</v>
      </c>
      <c r="M507" s="79">
        <f t="shared" ref="M507:M509" si="459">+M506+F507</f>
        <v>2555297.965966667</v>
      </c>
      <c r="O507" s="77" t="s">
        <v>167</v>
      </c>
      <c r="P507" s="85">
        <v>70</v>
      </c>
    </row>
    <row r="508" spans="1:20" x14ac:dyDescent="0.2">
      <c r="A508" s="83">
        <v>43163</v>
      </c>
      <c r="B508" s="79">
        <v>0</v>
      </c>
      <c r="C508" s="79">
        <v>0</v>
      </c>
      <c r="D508" s="86">
        <v>6460.74</v>
      </c>
      <c r="E508" s="28">
        <f t="shared" si="452"/>
        <v>323.03700000000003</v>
      </c>
      <c r="F508" s="79">
        <f t="shared" si="453"/>
        <v>6460.74</v>
      </c>
      <c r="G508" s="79">
        <f t="shared" si="454"/>
        <v>5200.1525000000001</v>
      </c>
      <c r="H508" s="79">
        <f t="shared" si="455"/>
        <v>4782.7215384615374</v>
      </c>
      <c r="I508" s="79">
        <f>AVERAGE($F$447:F508)</f>
        <v>6226.905483870969</v>
      </c>
      <c r="J508" s="84">
        <f t="shared" si="456"/>
        <v>323799.08516129036</v>
      </c>
      <c r="K508" s="79">
        <f t="shared" si="457"/>
        <v>320413.19000000006</v>
      </c>
      <c r="L508" s="85">
        <f t="shared" si="458"/>
        <v>1037.8175806451616</v>
      </c>
      <c r="M508" s="79">
        <f t="shared" si="459"/>
        <v>2561758.7059666673</v>
      </c>
      <c r="O508" s="77" t="s">
        <v>168</v>
      </c>
      <c r="P508" s="85">
        <v>0</v>
      </c>
    </row>
    <row r="509" spans="1:20" x14ac:dyDescent="0.2">
      <c r="A509" s="83">
        <v>43170</v>
      </c>
      <c r="B509" s="79">
        <v>0</v>
      </c>
      <c r="C509" s="79">
        <v>0</v>
      </c>
      <c r="D509" s="86">
        <v>6097.27</v>
      </c>
      <c r="E509" s="28">
        <f t="shared" si="452"/>
        <v>304.86350000000004</v>
      </c>
      <c r="F509" s="79">
        <f t="shared" si="453"/>
        <v>6097.27</v>
      </c>
      <c r="G509" s="79">
        <f t="shared" si="454"/>
        <v>5993.625</v>
      </c>
      <c r="H509" s="79">
        <f t="shared" si="455"/>
        <v>4991.5907692307701</v>
      </c>
      <c r="I509" s="79">
        <f>AVERAGE($F$447:F509)</f>
        <v>6224.8477777777789</v>
      </c>
      <c r="J509" s="84">
        <f t="shared" si="456"/>
        <v>323692.08444444451</v>
      </c>
      <c r="K509" s="79">
        <f t="shared" si="457"/>
        <v>316498.19000000006</v>
      </c>
      <c r="L509" s="85">
        <f t="shared" si="458"/>
        <v>1037.4746296296298</v>
      </c>
      <c r="M509" s="79">
        <f t="shared" si="459"/>
        <v>2567855.9759666673</v>
      </c>
      <c r="O509" s="77" t="s">
        <v>169</v>
      </c>
      <c r="P509" s="85">
        <v>280</v>
      </c>
    </row>
    <row r="510" spans="1:20" x14ac:dyDescent="0.2">
      <c r="A510" s="83">
        <v>43177</v>
      </c>
      <c r="B510" s="79">
        <v>0</v>
      </c>
      <c r="C510" s="79">
        <v>0</v>
      </c>
      <c r="D510" s="86">
        <v>5605.84</v>
      </c>
      <c r="E510" s="28">
        <f t="shared" ref="E510:E511" si="460">+D510*0.05</f>
        <v>280.29200000000003</v>
      </c>
      <c r="F510" s="79">
        <f t="shared" ref="F510:F511" si="461">SUM(B510:D510)</f>
        <v>5605.84</v>
      </c>
      <c r="G510" s="79">
        <f t="shared" ref="G510:G511" si="462">AVERAGE(F507:F510)</f>
        <v>5746.9925000000003</v>
      </c>
      <c r="H510" s="79">
        <f t="shared" ref="H510:H511" si="463">AVERAGE(F498:F510)</f>
        <v>5006.53923076923</v>
      </c>
      <c r="I510" s="79">
        <f>AVERAGE($F$447:F510)</f>
        <v>6215.1757812500018</v>
      </c>
      <c r="J510" s="84">
        <f t="shared" ref="J510:J511" si="464">+I510*52</f>
        <v>323189.14062500012</v>
      </c>
      <c r="K510" s="79">
        <f t="shared" ref="K510:K511" si="465">SUM(F459:F510)</f>
        <v>311232.68000000011</v>
      </c>
      <c r="L510" s="85">
        <f t="shared" ref="L510:L511" si="466">+I510/6</f>
        <v>1035.8626302083337</v>
      </c>
      <c r="M510" s="79">
        <f t="shared" ref="M510:M511" si="467">+M509+F510</f>
        <v>2573461.8159666671</v>
      </c>
      <c r="O510" s="77" t="s">
        <v>170</v>
      </c>
      <c r="P510" s="85">
        <v>0</v>
      </c>
      <c r="T510" s="109">
        <f>+R511*52</f>
        <v>32001.575968992234</v>
      </c>
    </row>
    <row r="511" spans="1:20" x14ac:dyDescent="0.2">
      <c r="A511" s="83">
        <v>43184</v>
      </c>
      <c r="B511" s="79">
        <v>0</v>
      </c>
      <c r="C511" s="79">
        <v>0</v>
      </c>
      <c r="D511" s="172">
        <v>7489.88</v>
      </c>
      <c r="E511" s="28">
        <f t="shared" si="460"/>
        <v>374.49400000000003</v>
      </c>
      <c r="F511" s="79">
        <f t="shared" si="461"/>
        <v>7489.88</v>
      </c>
      <c r="G511" s="79">
        <f t="shared" si="462"/>
        <v>6413.4324999999999</v>
      </c>
      <c r="H511" s="79">
        <f t="shared" si="463"/>
        <v>5177.0069230769232</v>
      </c>
      <c r="I511" s="79">
        <f>AVERAGE($F$447:F511)</f>
        <v>6234.7866153846171</v>
      </c>
      <c r="J511" s="84">
        <f t="shared" si="464"/>
        <v>324208.9040000001</v>
      </c>
      <c r="K511" s="79">
        <f t="shared" si="465"/>
        <v>310033.13000000006</v>
      </c>
      <c r="L511" s="85">
        <f t="shared" si="466"/>
        <v>1039.1311025641028</v>
      </c>
      <c r="M511" s="79">
        <f t="shared" si="467"/>
        <v>2580951.695966667</v>
      </c>
      <c r="O511" s="77" t="s">
        <v>171</v>
      </c>
      <c r="P511" s="85">
        <v>470</v>
      </c>
      <c r="R511" s="110">
        <f>+I125/6</f>
        <v>615.41492248061991</v>
      </c>
      <c r="S511" s="111">
        <f>+R511*0.25</f>
        <v>153.85373062015498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3267"/>
  <sheetViews>
    <sheetView topLeftCell="A204" workbookViewId="0">
      <selection activeCell="A252" sqref="A252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60" t="s">
        <v>0</v>
      </c>
      <c r="B1" s="2"/>
      <c r="C1" s="3">
        <f>SUM(C3:C449)</f>
        <v>25855.767225000003</v>
      </c>
      <c r="D1" s="3">
        <f>SUM(D3:D449)</f>
        <v>1701.0372250000009</v>
      </c>
      <c r="F1" s="166">
        <f>SUM(F3:F2641)</f>
        <v>13188.350000000002</v>
      </c>
      <c r="G1" s="166">
        <f>SUM(G3:G2641)</f>
        <v>12962.890000000003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221" t="s">
        <v>5</v>
      </c>
      <c r="H2" s="9"/>
    </row>
    <row r="3" spans="1:10" x14ac:dyDescent="0.2">
      <c r="A3" s="10">
        <v>20038</v>
      </c>
      <c r="B3" s="11">
        <v>42522</v>
      </c>
      <c r="C3" s="12">
        <v>35</v>
      </c>
      <c r="D3" s="12">
        <v>2.67</v>
      </c>
      <c r="E3" s="17"/>
      <c r="F3" s="12"/>
      <c r="G3" s="12"/>
      <c r="H3" s="12"/>
    </row>
    <row r="4" spans="1:10" x14ac:dyDescent="0.2">
      <c r="A4" s="10">
        <v>20039</v>
      </c>
      <c r="B4" s="11">
        <v>42522</v>
      </c>
      <c r="C4" s="12">
        <v>615.94000000000005</v>
      </c>
      <c r="D4" s="12">
        <v>46.94</v>
      </c>
      <c r="E4" s="15" t="s">
        <v>679</v>
      </c>
      <c r="F4" s="10"/>
      <c r="G4" s="10"/>
      <c r="H4" s="10"/>
      <c r="I4" s="10"/>
    </row>
    <row r="5" spans="1:10" x14ac:dyDescent="0.2">
      <c r="A5" s="10">
        <v>20040</v>
      </c>
      <c r="B5" s="11">
        <v>42522</v>
      </c>
      <c r="C5" s="12">
        <v>7</v>
      </c>
      <c r="D5" s="12">
        <v>0.53</v>
      </c>
      <c r="E5" s="17"/>
      <c r="H5" s="12"/>
      <c r="I5" s="10"/>
    </row>
    <row r="6" spans="1:10" x14ac:dyDescent="0.2">
      <c r="A6" s="10">
        <v>20041</v>
      </c>
      <c r="B6" s="11">
        <v>42522</v>
      </c>
      <c r="C6" s="12">
        <v>90</v>
      </c>
      <c r="D6" s="12">
        <v>6.86</v>
      </c>
      <c r="E6" s="17"/>
      <c r="F6" s="18"/>
      <c r="G6" s="19"/>
      <c r="H6" s="12"/>
      <c r="I6" s="10"/>
    </row>
    <row r="7" spans="1:10" x14ac:dyDescent="0.2">
      <c r="A7" s="10">
        <v>20042</v>
      </c>
      <c r="B7" s="11">
        <v>42522</v>
      </c>
      <c r="C7" s="12">
        <v>648.41999999999996</v>
      </c>
      <c r="D7" s="12">
        <v>49.42</v>
      </c>
      <c r="E7" s="15" t="s">
        <v>680</v>
      </c>
      <c r="H7" s="10"/>
      <c r="I7" s="10"/>
    </row>
    <row r="8" spans="1:10" x14ac:dyDescent="0.2">
      <c r="A8" s="10">
        <v>20043</v>
      </c>
      <c r="B8" s="11">
        <v>42522</v>
      </c>
      <c r="C8" s="12">
        <v>0</v>
      </c>
      <c r="D8" s="12">
        <v>0</v>
      </c>
      <c r="E8" s="17"/>
      <c r="F8" s="20">
        <f>300+213.31+250</f>
        <v>763.31</v>
      </c>
      <c r="G8" s="20">
        <v>742.67</v>
      </c>
      <c r="H8" s="12"/>
      <c r="I8" s="10"/>
    </row>
    <row r="9" spans="1:10" x14ac:dyDescent="0.2">
      <c r="A9" s="10">
        <v>20044</v>
      </c>
      <c r="B9" s="11">
        <v>42523</v>
      </c>
      <c r="C9" s="12">
        <v>15.16</v>
      </c>
      <c r="D9" s="12">
        <v>1.1599999999999999</v>
      </c>
      <c r="E9" s="17"/>
      <c r="H9" s="12"/>
      <c r="I9" s="10"/>
    </row>
    <row r="10" spans="1:10" x14ac:dyDescent="0.2">
      <c r="A10" s="10">
        <v>20045</v>
      </c>
      <c r="B10" s="11">
        <v>42523</v>
      </c>
      <c r="C10" s="12">
        <v>-46</v>
      </c>
      <c r="D10" s="12"/>
      <c r="E10" s="15" t="s">
        <v>25</v>
      </c>
      <c r="F10" s="21"/>
      <c r="G10" s="22"/>
      <c r="H10" s="10"/>
      <c r="I10" s="10"/>
    </row>
    <row r="11" spans="1:10" x14ac:dyDescent="0.2">
      <c r="A11" s="10">
        <v>20046</v>
      </c>
      <c r="B11" s="11">
        <v>42523</v>
      </c>
      <c r="C11" s="12">
        <v>57.37</v>
      </c>
      <c r="D11" s="12">
        <v>4.37</v>
      </c>
      <c r="E11" s="17"/>
      <c r="H11" s="12"/>
      <c r="I11" s="10"/>
    </row>
    <row r="12" spans="1:10" x14ac:dyDescent="0.2">
      <c r="A12" s="10">
        <v>20047</v>
      </c>
      <c r="B12" s="11">
        <v>42523</v>
      </c>
      <c r="C12" s="12">
        <v>18.399999999999999</v>
      </c>
      <c r="D12" s="12">
        <v>1.4</v>
      </c>
      <c r="E12" s="17"/>
      <c r="H12" s="12"/>
      <c r="I12" s="10"/>
    </row>
    <row r="13" spans="1:10" x14ac:dyDescent="0.2">
      <c r="A13" s="10">
        <v>20048</v>
      </c>
      <c r="B13" s="11">
        <v>42523</v>
      </c>
      <c r="C13" s="12">
        <v>6.85</v>
      </c>
      <c r="D13" s="12"/>
      <c r="E13" s="15" t="s">
        <v>97</v>
      </c>
      <c r="H13" s="10"/>
      <c r="I13" s="10"/>
    </row>
    <row r="14" spans="1:10" x14ac:dyDescent="0.2">
      <c r="A14" s="10">
        <v>20049</v>
      </c>
      <c r="B14" s="11">
        <v>42523</v>
      </c>
      <c r="C14" s="12">
        <v>129</v>
      </c>
      <c r="D14" s="12"/>
      <c r="E14" s="15" t="s">
        <v>363</v>
      </c>
      <c r="F14" s="20">
        <v>112.58</v>
      </c>
      <c r="G14" s="20">
        <v>110.82</v>
      </c>
      <c r="H14" s="10"/>
      <c r="I14" s="10"/>
    </row>
    <row r="15" spans="1:10" x14ac:dyDescent="0.2">
      <c r="A15" s="10">
        <v>20050</v>
      </c>
      <c r="B15" s="11">
        <v>42524</v>
      </c>
      <c r="C15" s="12">
        <v>25.98</v>
      </c>
      <c r="D15" s="12">
        <v>1.98</v>
      </c>
      <c r="E15" s="17"/>
      <c r="F15" s="18"/>
      <c r="G15" s="19"/>
      <c r="H15" s="12"/>
      <c r="I15" s="10"/>
    </row>
    <row r="16" spans="1:10" x14ac:dyDescent="0.2">
      <c r="A16" s="10">
        <v>20051</v>
      </c>
      <c r="B16" s="11">
        <v>42524</v>
      </c>
      <c r="C16" s="12">
        <v>16.239999999999998</v>
      </c>
      <c r="D16" s="12">
        <v>1.24</v>
      </c>
      <c r="E16" s="17"/>
      <c r="F16" s="18"/>
      <c r="G16" s="19"/>
      <c r="H16" s="12"/>
      <c r="I16" s="10"/>
    </row>
    <row r="17" spans="1:9" x14ac:dyDescent="0.2">
      <c r="A17" s="10">
        <v>20052</v>
      </c>
      <c r="B17" s="11">
        <v>42524</v>
      </c>
      <c r="C17" s="12">
        <v>40</v>
      </c>
      <c r="D17" s="12">
        <v>3.05</v>
      </c>
      <c r="E17" s="17"/>
      <c r="F17" s="18"/>
      <c r="G17" s="19"/>
      <c r="H17" s="12"/>
      <c r="I17" s="10"/>
    </row>
    <row r="18" spans="1:9" x14ac:dyDescent="0.2">
      <c r="A18" s="10">
        <v>20053</v>
      </c>
      <c r="B18" s="11">
        <v>42524</v>
      </c>
      <c r="C18" s="185">
        <v>3</v>
      </c>
      <c r="D18" s="12"/>
      <c r="E18" s="15"/>
      <c r="F18" s="21"/>
      <c r="G18" s="22"/>
      <c r="H18" s="10"/>
      <c r="I18" s="10"/>
    </row>
    <row r="19" spans="1:9" x14ac:dyDescent="0.2">
      <c r="A19" s="10">
        <v>20054</v>
      </c>
      <c r="B19" s="11">
        <v>42524</v>
      </c>
      <c r="C19" s="185">
        <v>541.67999999999995</v>
      </c>
      <c r="D19" s="12">
        <v>41.28</v>
      </c>
      <c r="E19" s="15" t="s">
        <v>681</v>
      </c>
      <c r="F19" s="21"/>
      <c r="G19" s="22"/>
      <c r="H19" s="10"/>
      <c r="I19" s="10"/>
    </row>
    <row r="20" spans="1:9" x14ac:dyDescent="0.2">
      <c r="A20" s="10">
        <v>20055</v>
      </c>
      <c r="B20" s="11">
        <v>42524</v>
      </c>
      <c r="C20" s="185">
        <v>11</v>
      </c>
      <c r="D20" s="12"/>
      <c r="E20" s="13" t="s">
        <v>8</v>
      </c>
      <c r="F20" s="18"/>
      <c r="G20" s="19"/>
      <c r="H20" s="12"/>
      <c r="I20" s="10"/>
    </row>
    <row r="21" spans="1:9" x14ac:dyDescent="0.2">
      <c r="A21" s="10">
        <v>20056</v>
      </c>
      <c r="B21" s="11">
        <v>42524</v>
      </c>
      <c r="C21" s="185">
        <v>2</v>
      </c>
      <c r="D21" s="12">
        <v>0.15</v>
      </c>
      <c r="E21" s="17"/>
      <c r="F21" s="18"/>
      <c r="G21" s="19"/>
      <c r="H21" s="12"/>
      <c r="I21" s="10"/>
    </row>
    <row r="22" spans="1:9" x14ac:dyDescent="0.2">
      <c r="A22" s="10">
        <v>20057</v>
      </c>
      <c r="B22" s="11">
        <v>42524</v>
      </c>
      <c r="C22" s="185">
        <v>5.41</v>
      </c>
      <c r="D22" s="12">
        <v>0.41</v>
      </c>
      <c r="E22" s="17"/>
      <c r="F22" s="18"/>
      <c r="G22" s="19"/>
      <c r="H22" s="12"/>
      <c r="I22" s="10"/>
    </row>
    <row r="23" spans="1:9" x14ac:dyDescent="0.2">
      <c r="A23" s="10">
        <v>20058</v>
      </c>
      <c r="B23" s="11">
        <v>42524</v>
      </c>
      <c r="C23" s="185">
        <v>200</v>
      </c>
      <c r="D23" s="12"/>
      <c r="E23" s="15" t="s">
        <v>682</v>
      </c>
      <c r="H23" s="10"/>
      <c r="I23" s="10"/>
    </row>
    <row r="24" spans="1:9" x14ac:dyDescent="0.2">
      <c r="A24" s="10">
        <v>20059</v>
      </c>
      <c r="B24" s="11">
        <v>42524</v>
      </c>
      <c r="C24" s="185">
        <v>410</v>
      </c>
      <c r="D24" s="12">
        <v>31.25</v>
      </c>
      <c r="E24" s="15"/>
      <c r="F24" s="21"/>
      <c r="G24" s="22"/>
      <c r="H24" s="10"/>
      <c r="I24" s="10"/>
    </row>
    <row r="25" spans="1:9" x14ac:dyDescent="0.2">
      <c r="A25" s="10">
        <v>20060</v>
      </c>
      <c r="B25" s="11">
        <v>42524</v>
      </c>
      <c r="C25" s="185">
        <v>-8.66</v>
      </c>
      <c r="D25" s="12">
        <v>-0.66</v>
      </c>
      <c r="E25" s="17"/>
      <c r="H25" s="12"/>
      <c r="I25" s="10"/>
    </row>
    <row r="26" spans="1:9" x14ac:dyDescent="0.2">
      <c r="A26" s="10">
        <v>20061</v>
      </c>
      <c r="B26" s="11">
        <v>42524</v>
      </c>
      <c r="C26" s="185">
        <v>134.80000000000001</v>
      </c>
      <c r="D26" s="12"/>
      <c r="E26" s="15" t="s">
        <v>21</v>
      </c>
      <c r="F26" s="21"/>
      <c r="G26" s="22"/>
      <c r="H26" s="10"/>
      <c r="I26" s="10"/>
    </row>
    <row r="27" spans="1:9" x14ac:dyDescent="0.2">
      <c r="A27" s="10">
        <v>20062</v>
      </c>
      <c r="B27" s="11">
        <v>42524</v>
      </c>
      <c r="C27" s="185">
        <v>24.87</v>
      </c>
      <c r="D27" s="12">
        <v>1.89</v>
      </c>
      <c r="E27" s="15" t="s">
        <v>11</v>
      </c>
      <c r="H27" s="10"/>
      <c r="I27" s="10"/>
    </row>
    <row r="28" spans="1:9" x14ac:dyDescent="0.2">
      <c r="A28" s="10">
        <v>20063</v>
      </c>
      <c r="B28" s="11">
        <v>42524</v>
      </c>
      <c r="C28" s="12">
        <v>375</v>
      </c>
      <c r="D28" s="12"/>
      <c r="E28" s="15" t="s">
        <v>683</v>
      </c>
      <c r="H28" s="10"/>
      <c r="I28" s="10"/>
    </row>
    <row r="29" spans="1:9" x14ac:dyDescent="0.2">
      <c r="A29" s="10">
        <v>20064</v>
      </c>
      <c r="B29" s="11">
        <v>42524</v>
      </c>
      <c r="C29" s="12">
        <v>3</v>
      </c>
      <c r="D29" s="12">
        <v>0.23</v>
      </c>
      <c r="E29" s="17"/>
      <c r="F29" s="20">
        <f>56.96+255+24.87</f>
        <v>336.83</v>
      </c>
      <c r="G29" s="20">
        <v>334.52</v>
      </c>
      <c r="H29" s="12"/>
      <c r="I29" s="10"/>
    </row>
    <row r="30" spans="1:9" x14ac:dyDescent="0.2">
      <c r="A30" s="10">
        <v>20065</v>
      </c>
      <c r="B30" s="11">
        <v>42525</v>
      </c>
      <c r="C30" s="12">
        <v>40</v>
      </c>
      <c r="D30" s="12"/>
      <c r="E30" s="13" t="s">
        <v>674</v>
      </c>
      <c r="H30" s="12"/>
      <c r="I30" s="10"/>
    </row>
    <row r="31" spans="1:9" x14ac:dyDescent="0.2">
      <c r="A31" s="10">
        <v>20066</v>
      </c>
      <c r="B31" s="11">
        <v>42525</v>
      </c>
      <c r="C31" s="12">
        <v>119.08</v>
      </c>
      <c r="D31" s="12">
        <v>9.08</v>
      </c>
      <c r="E31" s="17"/>
      <c r="F31" s="18"/>
      <c r="G31" s="19"/>
      <c r="H31" s="12"/>
      <c r="I31" s="10"/>
    </row>
    <row r="32" spans="1:9" x14ac:dyDescent="0.2">
      <c r="A32" s="10">
        <v>20067</v>
      </c>
      <c r="B32" s="11">
        <v>42525</v>
      </c>
      <c r="C32" s="12">
        <v>21.65</v>
      </c>
      <c r="D32" s="12">
        <v>1.65</v>
      </c>
      <c r="E32" s="15" t="s">
        <v>11</v>
      </c>
      <c r="F32" s="115"/>
      <c r="G32" s="115"/>
      <c r="H32" s="10"/>
      <c r="I32" s="10"/>
    </row>
    <row r="33" spans="1:9" x14ac:dyDescent="0.2">
      <c r="A33" s="10">
        <v>20068</v>
      </c>
      <c r="B33" s="11">
        <v>42525</v>
      </c>
      <c r="C33" s="12">
        <v>20</v>
      </c>
      <c r="D33" s="12">
        <v>1.52</v>
      </c>
      <c r="E33" s="17"/>
      <c r="H33" s="12"/>
      <c r="I33" s="10"/>
    </row>
    <row r="34" spans="1:9" x14ac:dyDescent="0.2">
      <c r="A34" s="10">
        <v>20069</v>
      </c>
      <c r="B34" s="11">
        <v>42525</v>
      </c>
      <c r="C34" s="12">
        <v>187.27</v>
      </c>
      <c r="D34" s="12">
        <v>14.27</v>
      </c>
      <c r="E34" s="15" t="s">
        <v>11</v>
      </c>
      <c r="F34" s="21"/>
      <c r="G34" s="22"/>
      <c r="H34" s="10"/>
      <c r="I34" s="10"/>
    </row>
    <row r="35" spans="1:9" x14ac:dyDescent="0.2">
      <c r="A35" s="10">
        <v>20070</v>
      </c>
      <c r="B35" s="11">
        <v>42525</v>
      </c>
      <c r="C35" s="12">
        <v>22</v>
      </c>
      <c r="D35" s="12"/>
      <c r="E35" s="15" t="s">
        <v>11</v>
      </c>
      <c r="F35" s="21"/>
      <c r="G35" s="22"/>
      <c r="H35" s="10"/>
      <c r="I35" s="10"/>
    </row>
    <row r="36" spans="1:9" x14ac:dyDescent="0.2">
      <c r="A36" s="10">
        <v>20071</v>
      </c>
      <c r="B36" s="11">
        <v>42525</v>
      </c>
      <c r="C36" s="12">
        <v>20</v>
      </c>
      <c r="D36" s="12">
        <v>1.52</v>
      </c>
      <c r="E36" s="17"/>
      <c r="F36" s="18"/>
      <c r="G36" s="19"/>
      <c r="H36" s="12"/>
      <c r="I36" s="10"/>
    </row>
    <row r="37" spans="1:9" x14ac:dyDescent="0.2">
      <c r="A37" s="10">
        <v>20072</v>
      </c>
      <c r="B37" s="11">
        <v>42525</v>
      </c>
      <c r="C37" s="12">
        <v>17.32</v>
      </c>
      <c r="D37" s="12">
        <v>1.32</v>
      </c>
      <c r="E37" s="17"/>
      <c r="H37" s="12"/>
      <c r="I37" s="10"/>
    </row>
    <row r="38" spans="1:9" x14ac:dyDescent="0.2">
      <c r="A38" s="10">
        <v>20073</v>
      </c>
      <c r="B38" s="11">
        <v>42525</v>
      </c>
      <c r="C38" s="12">
        <v>209.95</v>
      </c>
      <c r="D38" s="12">
        <v>16</v>
      </c>
      <c r="E38" s="15" t="s">
        <v>7</v>
      </c>
      <c r="F38" s="21"/>
      <c r="G38" s="22"/>
      <c r="H38" s="10"/>
      <c r="I38" s="10"/>
    </row>
    <row r="39" spans="1:9" x14ac:dyDescent="0.2">
      <c r="A39" s="10">
        <v>20074</v>
      </c>
      <c r="B39" s="11">
        <v>42525</v>
      </c>
      <c r="C39" s="12">
        <v>35.67</v>
      </c>
      <c r="D39" s="12">
        <v>2.72</v>
      </c>
      <c r="E39" s="15" t="s">
        <v>7</v>
      </c>
      <c r="F39" s="20">
        <f>+C32+C34+C35+C38+C39</f>
        <v>476.54</v>
      </c>
      <c r="G39" s="20">
        <v>473.09</v>
      </c>
      <c r="H39" s="10"/>
      <c r="I39" s="10"/>
    </row>
    <row r="40" spans="1:9" x14ac:dyDescent="0.2">
      <c r="A40" s="10">
        <v>20075</v>
      </c>
      <c r="B40" s="11">
        <v>42527</v>
      </c>
      <c r="C40" s="12">
        <v>111.39</v>
      </c>
      <c r="D40" s="12">
        <v>8.49</v>
      </c>
      <c r="E40" s="17"/>
      <c r="H40" s="12"/>
      <c r="I40" s="10"/>
    </row>
    <row r="41" spans="1:9" x14ac:dyDescent="0.2">
      <c r="A41" s="10">
        <v>20076</v>
      </c>
      <c r="B41" s="11">
        <v>42527</v>
      </c>
      <c r="C41" s="12">
        <v>159.66999999999999</v>
      </c>
      <c r="D41" s="12">
        <v>12.17</v>
      </c>
      <c r="E41" s="15" t="s">
        <v>11</v>
      </c>
      <c r="F41" s="21"/>
      <c r="G41" s="22"/>
      <c r="H41" s="10"/>
      <c r="I41" s="10"/>
    </row>
    <row r="42" spans="1:9" x14ac:dyDescent="0.2">
      <c r="A42" s="10">
        <v>20077</v>
      </c>
      <c r="B42" s="11">
        <v>42527</v>
      </c>
      <c r="C42" s="12">
        <v>172</v>
      </c>
      <c r="D42" s="12"/>
      <c r="E42" s="15" t="s">
        <v>21</v>
      </c>
      <c r="F42" s="21"/>
      <c r="G42" s="22"/>
      <c r="H42" s="10"/>
      <c r="I42" s="10"/>
    </row>
    <row r="43" spans="1:9" x14ac:dyDescent="0.2">
      <c r="A43" s="10">
        <v>20078</v>
      </c>
      <c r="B43" s="11">
        <v>42527</v>
      </c>
      <c r="C43" s="12">
        <v>120</v>
      </c>
      <c r="D43" s="12">
        <v>9.15</v>
      </c>
      <c r="E43" s="17"/>
      <c r="H43" s="12"/>
      <c r="I43" s="10"/>
    </row>
    <row r="44" spans="1:9" x14ac:dyDescent="0.2">
      <c r="A44" s="10">
        <v>20079</v>
      </c>
      <c r="B44" s="11">
        <v>42527</v>
      </c>
      <c r="C44" s="12">
        <v>65.650000000000006</v>
      </c>
      <c r="D44" s="12">
        <v>5</v>
      </c>
      <c r="E44" s="15" t="s">
        <v>11</v>
      </c>
      <c r="H44" s="10"/>
      <c r="I44" s="10"/>
    </row>
    <row r="45" spans="1:9" x14ac:dyDescent="0.2">
      <c r="A45" s="10">
        <v>20080</v>
      </c>
      <c r="B45" s="11">
        <v>42527</v>
      </c>
      <c r="C45" s="12">
        <v>190</v>
      </c>
      <c r="D45" s="12">
        <v>14.48</v>
      </c>
      <c r="E45" s="15"/>
      <c r="F45" s="20">
        <f>+C41+C44</f>
        <v>225.32</v>
      </c>
      <c r="G45" s="20">
        <v>223.49</v>
      </c>
      <c r="H45" s="10"/>
      <c r="I45" s="10"/>
    </row>
    <row r="46" spans="1:9" x14ac:dyDescent="0.2">
      <c r="A46" s="10">
        <v>20081</v>
      </c>
      <c r="B46" s="11">
        <v>42528</v>
      </c>
      <c r="C46" s="12">
        <v>19.5</v>
      </c>
      <c r="D46" s="12"/>
      <c r="E46" s="15" t="s">
        <v>25</v>
      </c>
      <c r="F46" s="21"/>
      <c r="G46" s="22"/>
      <c r="H46" s="10"/>
      <c r="I46" s="10"/>
    </row>
    <row r="47" spans="1:9" x14ac:dyDescent="0.2">
      <c r="A47" s="10">
        <v>20082</v>
      </c>
      <c r="B47" s="11">
        <v>42528</v>
      </c>
      <c r="C47" s="12">
        <v>15.16</v>
      </c>
      <c r="D47" s="12">
        <v>1.1599999999999999</v>
      </c>
      <c r="E47" s="15" t="s">
        <v>11</v>
      </c>
      <c r="H47" s="10"/>
      <c r="I47" s="10"/>
    </row>
    <row r="48" spans="1:9" x14ac:dyDescent="0.2">
      <c r="A48" s="10">
        <v>20083</v>
      </c>
      <c r="B48" s="11">
        <v>42528</v>
      </c>
      <c r="C48" s="12">
        <v>139.63999999999999</v>
      </c>
      <c r="D48" s="12">
        <v>10.64</v>
      </c>
      <c r="E48" s="15" t="s">
        <v>533</v>
      </c>
      <c r="F48" s="21"/>
      <c r="G48" s="22"/>
      <c r="H48" s="10"/>
      <c r="I48" s="10"/>
    </row>
    <row r="49" spans="1:9" x14ac:dyDescent="0.2">
      <c r="A49" s="10">
        <v>20084</v>
      </c>
      <c r="B49" s="11">
        <v>42528</v>
      </c>
      <c r="C49" s="12">
        <v>36.81</v>
      </c>
      <c r="D49" s="12">
        <v>2.81</v>
      </c>
      <c r="E49" s="15" t="s">
        <v>11</v>
      </c>
      <c r="H49" s="10"/>
      <c r="I49" s="10"/>
    </row>
    <row r="50" spans="1:9" x14ac:dyDescent="0.2">
      <c r="A50" s="10">
        <v>20085</v>
      </c>
      <c r="B50" s="11">
        <v>42528</v>
      </c>
      <c r="C50" s="12">
        <v>2.71</v>
      </c>
      <c r="D50" s="12">
        <v>0.21</v>
      </c>
      <c r="E50" s="17"/>
      <c r="F50" s="18"/>
      <c r="G50" s="19"/>
      <c r="H50" s="12"/>
      <c r="I50" s="10"/>
    </row>
    <row r="51" spans="1:9" x14ac:dyDescent="0.2">
      <c r="A51" s="10">
        <v>20086</v>
      </c>
      <c r="B51" s="11">
        <v>42528</v>
      </c>
      <c r="C51" s="12">
        <v>90</v>
      </c>
      <c r="D51" s="12"/>
      <c r="E51" s="13" t="s">
        <v>8</v>
      </c>
      <c r="F51" s="20">
        <f>+C47+C49+139.64</f>
        <v>191.60999999999999</v>
      </c>
      <c r="G51" s="20">
        <f>51.11+135.8</f>
        <v>186.91000000000003</v>
      </c>
      <c r="H51" s="161"/>
      <c r="I51" s="10"/>
    </row>
    <row r="52" spans="1:9" x14ac:dyDescent="0.2">
      <c r="A52" s="10">
        <v>20087</v>
      </c>
      <c r="B52" s="11">
        <v>42529</v>
      </c>
      <c r="C52" s="12">
        <v>21.599999999999998</v>
      </c>
      <c r="D52" s="12">
        <v>1.65</v>
      </c>
      <c r="E52" s="15" t="s">
        <v>7</v>
      </c>
      <c r="F52" s="21"/>
      <c r="G52" s="22"/>
      <c r="H52" s="10"/>
      <c r="I52" s="10"/>
    </row>
    <row r="53" spans="1:9" x14ac:dyDescent="0.2">
      <c r="A53" s="10">
        <v>20088</v>
      </c>
      <c r="B53" s="11">
        <v>42529</v>
      </c>
      <c r="C53" s="12">
        <v>459.2</v>
      </c>
      <c r="D53" s="12">
        <v>35</v>
      </c>
      <c r="E53" s="15" t="s">
        <v>7</v>
      </c>
      <c r="I53" s="10"/>
    </row>
    <row r="54" spans="1:9" x14ac:dyDescent="0.2">
      <c r="A54" s="10">
        <v>20089</v>
      </c>
      <c r="B54" s="11">
        <v>42529</v>
      </c>
      <c r="C54" s="12">
        <v>26.5</v>
      </c>
      <c r="D54" s="12">
        <v>0.5</v>
      </c>
      <c r="E54" s="17"/>
      <c r="I54" s="10"/>
    </row>
    <row r="55" spans="1:9" x14ac:dyDescent="0.2">
      <c r="A55" s="10">
        <v>20090</v>
      </c>
      <c r="B55" s="11">
        <v>42529</v>
      </c>
      <c r="C55" s="12">
        <v>25.160000000000004</v>
      </c>
      <c r="D55" s="12">
        <v>1.92</v>
      </c>
      <c r="E55" s="15" t="s">
        <v>11</v>
      </c>
      <c r="I55" s="10"/>
    </row>
    <row r="56" spans="1:9" x14ac:dyDescent="0.2">
      <c r="A56" s="10">
        <v>20091</v>
      </c>
      <c r="B56" s="11">
        <v>42529</v>
      </c>
      <c r="C56" s="12">
        <v>7</v>
      </c>
      <c r="D56" s="12"/>
      <c r="E56" s="17"/>
      <c r="F56" s="18"/>
      <c r="G56" s="19"/>
      <c r="H56" s="12"/>
      <c r="I56" s="10"/>
    </row>
    <row r="57" spans="1:9" x14ac:dyDescent="0.2">
      <c r="A57" s="10">
        <v>20092</v>
      </c>
      <c r="B57" s="11">
        <v>42529</v>
      </c>
      <c r="C57" s="12">
        <v>24.84</v>
      </c>
      <c r="D57" s="12">
        <v>1.89</v>
      </c>
      <c r="E57" s="17"/>
      <c r="I57" s="10"/>
    </row>
    <row r="58" spans="1:9" x14ac:dyDescent="0.2">
      <c r="A58" s="10">
        <v>20093</v>
      </c>
      <c r="B58" s="11">
        <v>42529</v>
      </c>
      <c r="C58" s="12">
        <v>128.82</v>
      </c>
      <c r="D58" s="12">
        <v>9.82</v>
      </c>
      <c r="E58" s="17"/>
      <c r="I58" s="10"/>
    </row>
    <row r="59" spans="1:9" x14ac:dyDescent="0.2">
      <c r="A59" s="10">
        <v>20094</v>
      </c>
      <c r="B59" s="11">
        <v>42529</v>
      </c>
      <c r="C59" s="12">
        <v>25.93</v>
      </c>
      <c r="D59" s="12">
        <v>1.98</v>
      </c>
      <c r="E59" s="15" t="s">
        <v>11</v>
      </c>
      <c r="I59" s="10"/>
    </row>
    <row r="60" spans="1:9" x14ac:dyDescent="0.2">
      <c r="A60" s="10">
        <v>20095</v>
      </c>
      <c r="B60" s="11">
        <v>42529</v>
      </c>
      <c r="C60" s="12">
        <v>40</v>
      </c>
      <c r="D60" s="12">
        <v>3.05</v>
      </c>
      <c r="E60" s="17"/>
      <c r="I60" s="10"/>
    </row>
    <row r="61" spans="1:9" x14ac:dyDescent="0.2">
      <c r="A61" s="10">
        <v>20096</v>
      </c>
      <c r="B61" s="11">
        <v>42529</v>
      </c>
      <c r="C61" s="12">
        <v>275</v>
      </c>
      <c r="D61" s="12"/>
      <c r="E61" s="15" t="s">
        <v>98</v>
      </c>
      <c r="I61" s="10"/>
    </row>
    <row r="62" spans="1:9" x14ac:dyDescent="0.2">
      <c r="A62" s="10">
        <v>20097</v>
      </c>
      <c r="B62" s="11">
        <v>42529</v>
      </c>
      <c r="C62" s="12">
        <v>26.85</v>
      </c>
      <c r="D62" s="12">
        <v>2.0499999999999998</v>
      </c>
      <c r="E62" s="17"/>
      <c r="F62" s="20">
        <f>+C52+C53+C55+C59-2+108.36</f>
        <v>638.25</v>
      </c>
      <c r="G62" s="20">
        <f>516.58+105.38</f>
        <v>621.96</v>
      </c>
      <c r="H62" s="114"/>
      <c r="I62" s="10"/>
    </row>
    <row r="63" spans="1:9" x14ac:dyDescent="0.2">
      <c r="A63" s="10">
        <v>20098</v>
      </c>
      <c r="B63" s="11">
        <v>42530</v>
      </c>
      <c r="C63" s="12">
        <v>21</v>
      </c>
      <c r="D63" s="12">
        <v>1.6</v>
      </c>
      <c r="E63" s="15" t="s">
        <v>11</v>
      </c>
      <c r="F63" s="21"/>
      <c r="G63" s="22"/>
      <c r="H63" s="10"/>
      <c r="I63" s="10"/>
    </row>
    <row r="64" spans="1:9" x14ac:dyDescent="0.2">
      <c r="A64" s="10">
        <v>20099</v>
      </c>
      <c r="B64" s="11">
        <v>42530</v>
      </c>
      <c r="C64" s="12">
        <v>5.3900000000000006</v>
      </c>
      <c r="D64" s="12">
        <v>0.41</v>
      </c>
      <c r="E64" s="17"/>
      <c r="H64" s="12"/>
      <c r="I64" s="10"/>
    </row>
    <row r="65" spans="1:9" x14ac:dyDescent="0.2">
      <c r="A65" s="10">
        <v>20100</v>
      </c>
      <c r="B65" s="11">
        <v>42530</v>
      </c>
      <c r="C65" s="12">
        <v>27</v>
      </c>
      <c r="D65" s="12">
        <v>2.06</v>
      </c>
      <c r="E65" s="17"/>
      <c r="H65" s="12"/>
      <c r="I65" s="10"/>
    </row>
    <row r="66" spans="1:9" x14ac:dyDescent="0.2">
      <c r="A66" s="10">
        <v>20101</v>
      </c>
      <c r="B66" s="11">
        <v>42530</v>
      </c>
      <c r="C66" s="12">
        <v>169.79</v>
      </c>
      <c r="D66" s="12">
        <v>12.94</v>
      </c>
      <c r="E66" s="15" t="s">
        <v>533</v>
      </c>
      <c r="I66" s="10"/>
    </row>
    <row r="67" spans="1:9" x14ac:dyDescent="0.2">
      <c r="A67" s="10">
        <v>20102</v>
      </c>
      <c r="B67" s="11">
        <v>42530</v>
      </c>
      <c r="C67" s="12">
        <v>170</v>
      </c>
      <c r="D67" s="12">
        <v>12.96</v>
      </c>
      <c r="E67" s="15"/>
      <c r="F67" s="21"/>
      <c r="G67" s="22"/>
      <c r="H67" s="10"/>
      <c r="I67" s="10"/>
    </row>
    <row r="68" spans="1:9" x14ac:dyDescent="0.2">
      <c r="A68" s="10">
        <v>20103</v>
      </c>
      <c r="B68" s="11">
        <v>42530</v>
      </c>
      <c r="C68" s="12">
        <v>20</v>
      </c>
      <c r="D68" s="12">
        <v>1.52</v>
      </c>
      <c r="E68" s="13"/>
      <c r="F68" s="18"/>
      <c r="G68" s="19"/>
      <c r="H68" s="12"/>
      <c r="I68" s="10"/>
    </row>
    <row r="69" spans="1:9" x14ac:dyDescent="0.2">
      <c r="A69" s="10">
        <v>20104</v>
      </c>
      <c r="B69" s="11">
        <v>42530</v>
      </c>
      <c r="C69" s="12">
        <v>180</v>
      </c>
      <c r="D69" s="12">
        <v>13.72</v>
      </c>
      <c r="E69" s="15"/>
      <c r="F69" s="20">
        <f>+C63+169.79</f>
        <v>190.79</v>
      </c>
      <c r="G69" s="20">
        <f>20.61+165.12</f>
        <v>185.73000000000002</v>
      </c>
      <c r="H69" s="114"/>
      <c r="I69" s="10"/>
    </row>
    <row r="70" spans="1:9" x14ac:dyDescent="0.2">
      <c r="A70" s="10">
        <v>20105</v>
      </c>
      <c r="B70" s="11">
        <v>42531</v>
      </c>
      <c r="C70" s="12">
        <v>34.997225</v>
      </c>
      <c r="D70" s="12">
        <v>2.6672250000000002</v>
      </c>
      <c r="E70" s="17"/>
      <c r="H70" s="12"/>
      <c r="I70" s="10"/>
    </row>
    <row r="71" spans="1:9" x14ac:dyDescent="0.2">
      <c r="A71" s="10">
        <v>20106</v>
      </c>
      <c r="B71" s="11">
        <v>42531</v>
      </c>
      <c r="C71" s="12">
        <v>341.53</v>
      </c>
      <c r="D71" s="12">
        <v>26.03</v>
      </c>
      <c r="E71" s="15" t="s">
        <v>11</v>
      </c>
      <c r="F71" s="21"/>
      <c r="G71" s="22"/>
      <c r="H71" s="10"/>
      <c r="I71" s="10"/>
    </row>
    <row r="72" spans="1:9" x14ac:dyDescent="0.2">
      <c r="A72" s="10">
        <v>20107</v>
      </c>
      <c r="B72" s="11">
        <v>42531</v>
      </c>
      <c r="C72" s="12">
        <v>54.13</v>
      </c>
      <c r="D72" s="12">
        <v>4.13</v>
      </c>
      <c r="E72" s="17"/>
      <c r="H72" s="12"/>
      <c r="I72" s="10"/>
    </row>
    <row r="73" spans="1:9" x14ac:dyDescent="0.2">
      <c r="A73" s="10">
        <v>20108</v>
      </c>
      <c r="B73" s="11">
        <v>42531</v>
      </c>
      <c r="C73" s="12">
        <v>105</v>
      </c>
      <c r="D73" s="12"/>
      <c r="E73" s="15" t="s">
        <v>365</v>
      </c>
      <c r="H73" s="10"/>
      <c r="I73" s="10"/>
    </row>
    <row r="74" spans="1:9" x14ac:dyDescent="0.2">
      <c r="A74" s="10">
        <v>20109</v>
      </c>
      <c r="B74" s="11">
        <v>42531</v>
      </c>
      <c r="C74" s="12">
        <v>20</v>
      </c>
      <c r="D74" s="12"/>
      <c r="E74" s="15" t="s">
        <v>365</v>
      </c>
      <c r="H74" s="12"/>
      <c r="I74" s="10"/>
    </row>
    <row r="75" spans="1:9" x14ac:dyDescent="0.2">
      <c r="A75" s="10">
        <v>20110</v>
      </c>
      <c r="B75" s="11">
        <v>42531</v>
      </c>
      <c r="C75" s="12">
        <v>0</v>
      </c>
      <c r="D75" s="12">
        <v>0</v>
      </c>
      <c r="E75" s="17"/>
      <c r="H75" s="12"/>
      <c r="I75" s="10"/>
    </row>
    <row r="76" spans="1:9" x14ac:dyDescent="0.2">
      <c r="A76" s="10">
        <v>20111</v>
      </c>
      <c r="B76" s="11">
        <v>42531</v>
      </c>
      <c r="C76" s="12">
        <v>195</v>
      </c>
      <c r="D76" s="12">
        <v>14.86</v>
      </c>
      <c r="E76" s="17"/>
      <c r="F76" s="18"/>
      <c r="G76" s="19"/>
      <c r="H76" s="12"/>
      <c r="I76" s="10"/>
    </row>
    <row r="77" spans="1:9" x14ac:dyDescent="0.2">
      <c r="A77" s="10">
        <v>20112</v>
      </c>
      <c r="B77" s="11">
        <v>42531</v>
      </c>
      <c r="C77" s="12">
        <v>128.91999999999999</v>
      </c>
      <c r="D77" s="12"/>
      <c r="E77" s="15" t="s">
        <v>363</v>
      </c>
      <c r="F77" s="21"/>
      <c r="G77" s="22"/>
      <c r="H77" s="10"/>
      <c r="I77" s="10"/>
    </row>
    <row r="78" spans="1:9" x14ac:dyDescent="0.2">
      <c r="A78" s="10">
        <v>20113</v>
      </c>
      <c r="B78" s="11">
        <v>42531</v>
      </c>
      <c r="C78" s="12">
        <v>85.52</v>
      </c>
      <c r="D78" s="12">
        <v>6.52</v>
      </c>
      <c r="E78" s="13"/>
      <c r="F78" s="18"/>
      <c r="G78" s="19"/>
      <c r="H78" s="12"/>
      <c r="I78" s="10"/>
    </row>
    <row r="79" spans="1:9" x14ac:dyDescent="0.2">
      <c r="A79" s="10">
        <v>20114</v>
      </c>
      <c r="B79" s="11">
        <v>42531</v>
      </c>
      <c r="C79" s="12">
        <v>32.479999999999997</v>
      </c>
      <c r="D79" s="12">
        <v>2.48</v>
      </c>
      <c r="E79" s="15" t="s">
        <v>11</v>
      </c>
      <c r="H79" s="10"/>
      <c r="I79" s="10"/>
    </row>
    <row r="80" spans="1:9" x14ac:dyDescent="0.2">
      <c r="A80" s="10">
        <v>20115</v>
      </c>
      <c r="B80" s="11">
        <v>42531</v>
      </c>
      <c r="C80" s="12">
        <v>81.19</v>
      </c>
      <c r="D80" s="12">
        <v>6.19</v>
      </c>
      <c r="E80" s="15" t="s">
        <v>11</v>
      </c>
      <c r="H80" s="10"/>
      <c r="I80" s="10"/>
    </row>
    <row r="81" spans="1:9" x14ac:dyDescent="0.2">
      <c r="A81" s="10">
        <v>20116</v>
      </c>
      <c r="B81" s="11">
        <v>42531</v>
      </c>
      <c r="C81" s="12">
        <v>77.94</v>
      </c>
      <c r="D81" s="12">
        <v>5.94</v>
      </c>
      <c r="E81" s="17"/>
      <c r="F81" s="20">
        <f>50+C71+C79+315.94+C80</f>
        <v>821.1400000000001</v>
      </c>
      <c r="G81" s="20">
        <v>809.47</v>
      </c>
      <c r="H81" s="12"/>
      <c r="I81" s="10"/>
    </row>
    <row r="82" spans="1:9" x14ac:dyDescent="0.2">
      <c r="A82" s="10">
        <v>20117</v>
      </c>
      <c r="B82" s="11">
        <v>42532</v>
      </c>
      <c r="C82" s="12">
        <v>112.15</v>
      </c>
      <c r="D82" s="12">
        <v>30.65</v>
      </c>
      <c r="E82" s="15" t="s">
        <v>21</v>
      </c>
      <c r="H82" s="10"/>
      <c r="I82" s="10"/>
    </row>
    <row r="83" spans="1:9" x14ac:dyDescent="0.2">
      <c r="A83" s="10">
        <v>20118</v>
      </c>
      <c r="B83" s="11">
        <v>42532</v>
      </c>
      <c r="C83" s="12">
        <v>0</v>
      </c>
      <c r="D83" s="12"/>
      <c r="E83" s="17"/>
      <c r="F83" s="18"/>
      <c r="G83" s="19"/>
      <c r="H83" s="12"/>
      <c r="I83" s="10"/>
    </row>
    <row r="84" spans="1:9" x14ac:dyDescent="0.2">
      <c r="A84" s="10">
        <v>20119</v>
      </c>
      <c r="B84" s="11">
        <v>42532</v>
      </c>
      <c r="C84" s="12">
        <v>128.82</v>
      </c>
      <c r="D84" s="12">
        <v>9.82</v>
      </c>
      <c r="E84" s="17"/>
      <c r="F84" s="18"/>
      <c r="G84" s="19"/>
      <c r="H84" s="12"/>
      <c r="I84" s="10"/>
    </row>
    <row r="85" spans="1:9" x14ac:dyDescent="0.2">
      <c r="A85" s="10">
        <v>20120</v>
      </c>
      <c r="B85" s="11">
        <v>42532</v>
      </c>
      <c r="C85" s="12">
        <v>355</v>
      </c>
      <c r="D85" s="12">
        <v>27.06</v>
      </c>
      <c r="E85" s="17"/>
      <c r="H85" s="12"/>
      <c r="I85" s="10"/>
    </row>
    <row r="86" spans="1:9" x14ac:dyDescent="0.2">
      <c r="A86" s="10">
        <v>20121</v>
      </c>
      <c r="B86" s="11">
        <v>42532</v>
      </c>
      <c r="C86" s="12">
        <v>60.62</v>
      </c>
      <c r="D86" s="12">
        <v>4.62</v>
      </c>
      <c r="E86" s="17"/>
      <c r="H86" s="12"/>
      <c r="I86" s="10"/>
    </row>
    <row r="87" spans="1:9" x14ac:dyDescent="0.2">
      <c r="A87" s="10">
        <v>20122</v>
      </c>
      <c r="B87" s="11">
        <v>42532</v>
      </c>
      <c r="C87" s="12">
        <v>543.20000000000005</v>
      </c>
      <c r="D87" s="12"/>
      <c r="E87" s="15" t="s">
        <v>21</v>
      </c>
      <c r="F87" s="20">
        <v>0</v>
      </c>
      <c r="G87" s="20">
        <f>+F87*0.97831</f>
        <v>0</v>
      </c>
      <c r="H87" s="10"/>
      <c r="I87" s="10"/>
    </row>
    <row r="88" spans="1:9" x14ac:dyDescent="0.2">
      <c r="A88" s="10">
        <v>20123</v>
      </c>
      <c r="B88" s="11">
        <v>42534</v>
      </c>
      <c r="C88" s="12">
        <v>236.5</v>
      </c>
      <c r="D88" s="12">
        <v>30.49</v>
      </c>
      <c r="E88" s="15" t="s">
        <v>21</v>
      </c>
      <c r="F88" s="21"/>
      <c r="G88" s="22"/>
      <c r="H88" s="10"/>
      <c r="I88" s="10"/>
    </row>
    <row r="89" spans="1:9" x14ac:dyDescent="0.2">
      <c r="A89" s="10">
        <v>20124</v>
      </c>
      <c r="B89" s="11">
        <v>42534</v>
      </c>
      <c r="C89" s="12">
        <v>43</v>
      </c>
      <c r="D89" s="12"/>
      <c r="E89" s="15" t="s">
        <v>11</v>
      </c>
      <c r="H89" s="10"/>
      <c r="I89" s="10"/>
    </row>
    <row r="90" spans="1:9" x14ac:dyDescent="0.2">
      <c r="A90" s="10">
        <v>20125</v>
      </c>
      <c r="B90" s="11">
        <v>42534</v>
      </c>
      <c r="C90" s="222">
        <v>64.95</v>
      </c>
      <c r="D90" s="222">
        <v>4.95</v>
      </c>
      <c r="E90" s="192" t="s">
        <v>11</v>
      </c>
      <c r="H90" s="10"/>
      <c r="I90" s="10"/>
    </row>
    <row r="91" spans="1:9" x14ac:dyDescent="0.2">
      <c r="A91" s="10">
        <v>20126</v>
      </c>
      <c r="B91" s="11">
        <v>42534</v>
      </c>
      <c r="C91" s="12">
        <v>7.38</v>
      </c>
      <c r="D91" s="12"/>
      <c r="E91" s="13" t="s">
        <v>684</v>
      </c>
      <c r="F91" s="18"/>
      <c r="G91" s="19"/>
      <c r="H91" s="12"/>
      <c r="I91" s="10"/>
    </row>
    <row r="92" spans="1:9" x14ac:dyDescent="0.2">
      <c r="A92" s="10">
        <v>20127</v>
      </c>
      <c r="B92" s="11">
        <v>42534</v>
      </c>
      <c r="C92" s="12">
        <v>59</v>
      </c>
      <c r="D92" s="12"/>
      <c r="E92" s="15" t="s">
        <v>365</v>
      </c>
      <c r="H92" s="12"/>
      <c r="I92" s="10"/>
    </row>
    <row r="93" spans="1:9" x14ac:dyDescent="0.2">
      <c r="A93" s="10">
        <v>20128</v>
      </c>
      <c r="B93" s="11">
        <v>42534</v>
      </c>
      <c r="C93" s="12">
        <v>129.9</v>
      </c>
      <c r="D93" s="12">
        <v>9.9</v>
      </c>
      <c r="E93" s="17"/>
      <c r="F93" s="20">
        <f>+C89+295.8</f>
        <v>338.8</v>
      </c>
      <c r="G93" s="20">
        <v>332.3</v>
      </c>
      <c r="H93" s="12"/>
      <c r="I93" s="10"/>
    </row>
    <row r="94" spans="1:9" x14ac:dyDescent="0.2">
      <c r="A94" s="10">
        <v>20129</v>
      </c>
      <c r="B94" s="11">
        <v>42535</v>
      </c>
      <c r="C94" s="12">
        <v>190</v>
      </c>
      <c r="D94" s="12">
        <v>21.34</v>
      </c>
      <c r="E94" s="15"/>
      <c r="H94" s="10"/>
      <c r="I94" s="10"/>
    </row>
    <row r="95" spans="1:9" x14ac:dyDescent="0.2">
      <c r="A95" s="10">
        <v>20130</v>
      </c>
      <c r="B95" s="11">
        <v>42535</v>
      </c>
      <c r="C95" s="12">
        <v>83.46</v>
      </c>
      <c r="D95" s="12">
        <v>6.36</v>
      </c>
      <c r="E95" s="15" t="s">
        <v>685</v>
      </c>
      <c r="F95" s="21"/>
      <c r="G95" s="22"/>
      <c r="H95" s="10"/>
      <c r="I95" s="10"/>
    </row>
    <row r="96" spans="1:9" x14ac:dyDescent="0.2">
      <c r="A96" s="10">
        <v>20131</v>
      </c>
      <c r="B96" s="11">
        <v>42535</v>
      </c>
      <c r="C96" s="12">
        <v>77.94</v>
      </c>
      <c r="D96" s="12">
        <v>5.94</v>
      </c>
      <c r="E96" s="15" t="s">
        <v>11</v>
      </c>
      <c r="F96" s="21"/>
      <c r="G96" s="22"/>
      <c r="H96" s="10"/>
      <c r="I96" s="10"/>
    </row>
    <row r="97" spans="1:23" x14ac:dyDescent="0.2">
      <c r="A97" s="10">
        <v>20132</v>
      </c>
      <c r="B97" s="11">
        <v>42535</v>
      </c>
      <c r="C97" s="12">
        <v>36</v>
      </c>
      <c r="D97" s="12">
        <v>2.74</v>
      </c>
      <c r="E97" s="13"/>
      <c r="F97" s="18"/>
      <c r="G97" s="19"/>
      <c r="H97" s="12"/>
      <c r="I97" s="10"/>
    </row>
    <row r="98" spans="1:23" x14ac:dyDescent="0.2">
      <c r="A98" s="10">
        <v>20133</v>
      </c>
      <c r="B98" s="11">
        <v>42535</v>
      </c>
      <c r="C98" s="12">
        <v>200</v>
      </c>
      <c r="D98" s="12">
        <v>15.24</v>
      </c>
      <c r="E98" s="15" t="s">
        <v>686</v>
      </c>
      <c r="H98" s="10"/>
      <c r="I98" s="10"/>
    </row>
    <row r="99" spans="1:23" x14ac:dyDescent="0.2">
      <c r="A99" s="10">
        <v>20134</v>
      </c>
      <c r="B99" s="11">
        <v>42535</v>
      </c>
      <c r="C99" s="12">
        <v>190</v>
      </c>
      <c r="D99" s="12">
        <v>14.48</v>
      </c>
      <c r="E99" s="15" t="s">
        <v>21</v>
      </c>
      <c r="F99" s="20">
        <v>252.08</v>
      </c>
      <c r="G99" s="20">
        <v>246.84</v>
      </c>
      <c r="H99" s="10"/>
      <c r="I99" s="10"/>
    </row>
    <row r="100" spans="1:23" x14ac:dyDescent="0.2">
      <c r="A100" s="10">
        <v>20135</v>
      </c>
      <c r="B100" s="11">
        <v>42536</v>
      </c>
      <c r="C100" s="12">
        <v>103.05</v>
      </c>
      <c r="D100" s="12">
        <v>7.85</v>
      </c>
      <c r="E100" s="15" t="s">
        <v>533</v>
      </c>
      <c r="I100" s="10"/>
    </row>
    <row r="101" spans="1:23" x14ac:dyDescent="0.2">
      <c r="A101" s="10">
        <v>20136</v>
      </c>
      <c r="B101" s="11">
        <v>42536</v>
      </c>
      <c r="C101" s="12">
        <v>175.37</v>
      </c>
      <c r="D101" s="12">
        <v>13.37</v>
      </c>
      <c r="E101" s="13" t="s">
        <v>687</v>
      </c>
      <c r="F101" s="18"/>
      <c r="G101" s="19"/>
      <c r="H101" s="12"/>
      <c r="I101" s="10"/>
    </row>
    <row r="102" spans="1:23" x14ac:dyDescent="0.2">
      <c r="A102" s="10">
        <v>20137</v>
      </c>
      <c r="B102" s="11">
        <v>42536</v>
      </c>
      <c r="C102" s="12">
        <v>40</v>
      </c>
      <c r="D102" s="12"/>
      <c r="E102" s="17"/>
      <c r="F102" s="18"/>
      <c r="G102" s="208"/>
      <c r="H102" s="185"/>
      <c r="I102" s="183"/>
      <c r="J102" s="77"/>
      <c r="K102" s="77"/>
    </row>
    <row r="103" spans="1:23" x14ac:dyDescent="0.2">
      <c r="A103" s="10">
        <v>20138</v>
      </c>
      <c r="B103" s="11">
        <v>42536</v>
      </c>
      <c r="C103" s="185">
        <v>131.47</v>
      </c>
      <c r="D103" s="12">
        <v>10.02</v>
      </c>
      <c r="E103" s="15" t="s">
        <v>21</v>
      </c>
      <c r="F103" s="21"/>
      <c r="G103" s="207"/>
      <c r="H103" s="183"/>
      <c r="I103" s="183"/>
      <c r="J103" s="77"/>
      <c r="K103" s="77"/>
    </row>
    <row r="104" spans="1:23" x14ac:dyDescent="0.2">
      <c r="A104" s="10">
        <v>20139</v>
      </c>
      <c r="B104" s="11">
        <v>42536</v>
      </c>
      <c r="C104" s="185">
        <v>54</v>
      </c>
      <c r="D104" s="12"/>
      <c r="E104" s="15" t="s">
        <v>11</v>
      </c>
      <c r="F104" s="223"/>
      <c r="G104" s="224"/>
      <c r="H104" s="225"/>
      <c r="I104" s="225"/>
      <c r="J104" s="190"/>
      <c r="K104" s="190"/>
      <c r="L104" s="211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x14ac:dyDescent="0.2">
      <c r="A105" s="10">
        <v>20140</v>
      </c>
      <c r="B105" s="11">
        <v>42536</v>
      </c>
      <c r="C105" s="185">
        <v>156.96</v>
      </c>
      <c r="D105" s="12">
        <v>11.96</v>
      </c>
      <c r="E105" s="13"/>
      <c r="F105" s="226"/>
      <c r="G105" s="227"/>
      <c r="H105" s="228"/>
      <c r="I105" s="225"/>
      <c r="J105" s="190"/>
      <c r="K105" s="190"/>
      <c r="L105" s="211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x14ac:dyDescent="0.2">
      <c r="A106" s="10">
        <v>20141</v>
      </c>
      <c r="B106" s="11">
        <v>42536</v>
      </c>
      <c r="C106" s="185">
        <v>12.99</v>
      </c>
      <c r="D106" s="12">
        <v>0.99</v>
      </c>
      <c r="E106" s="15" t="s">
        <v>11</v>
      </c>
      <c r="F106" s="16"/>
      <c r="G106" s="225"/>
      <c r="H106" s="225"/>
      <c r="I106" s="225"/>
      <c r="J106" s="190"/>
      <c r="K106" s="190"/>
      <c r="L106" s="211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x14ac:dyDescent="0.2">
      <c r="A107" s="10">
        <v>20142</v>
      </c>
      <c r="B107" s="11">
        <v>42536</v>
      </c>
      <c r="C107" s="185">
        <v>95.26</v>
      </c>
      <c r="D107" s="12">
        <v>7.26</v>
      </c>
      <c r="E107" s="15" t="s">
        <v>11</v>
      </c>
      <c r="F107" s="16"/>
      <c r="G107" s="225"/>
      <c r="H107" s="225"/>
      <c r="I107" s="225"/>
      <c r="J107" s="190"/>
      <c r="K107" s="190"/>
      <c r="L107" s="211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x14ac:dyDescent="0.2">
      <c r="A108" s="10">
        <v>20143</v>
      </c>
      <c r="B108" s="11">
        <v>42536</v>
      </c>
      <c r="C108" s="12">
        <v>123.41</v>
      </c>
      <c r="D108" s="12">
        <v>9.41</v>
      </c>
      <c r="E108" s="13"/>
      <c r="F108" s="14"/>
      <c r="G108" s="228"/>
      <c r="H108" s="228"/>
      <c r="I108" s="225"/>
      <c r="J108" s="190"/>
      <c r="K108" s="190"/>
      <c r="L108" s="211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x14ac:dyDescent="0.2">
      <c r="A109" s="10">
        <v>20144</v>
      </c>
      <c r="B109" s="11">
        <v>42536</v>
      </c>
      <c r="C109" s="12">
        <v>59.54</v>
      </c>
      <c r="D109" s="12">
        <v>4.54</v>
      </c>
      <c r="E109" s="15" t="s">
        <v>11</v>
      </c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x14ac:dyDescent="0.2">
      <c r="A110" s="10">
        <v>20145</v>
      </c>
      <c r="B110" s="11">
        <v>42536</v>
      </c>
      <c r="C110" s="12">
        <v>140</v>
      </c>
      <c r="D110" s="12">
        <v>10.67</v>
      </c>
      <c r="E110" s="17"/>
      <c r="F110" s="20">
        <f>100+C104+C106+C107+28.82+C103+35.37+398.42+103.05</f>
        <v>959.37999999999988</v>
      </c>
      <c r="G110" s="20">
        <f>840.88+100.22</f>
        <v>941.1</v>
      </c>
      <c r="H110" s="114"/>
      <c r="J110" s="46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x14ac:dyDescent="0.2">
      <c r="A111" s="10">
        <v>20146</v>
      </c>
      <c r="B111" s="11">
        <v>42537</v>
      </c>
      <c r="C111" s="185">
        <v>178.07</v>
      </c>
      <c r="D111" s="185">
        <v>13.57</v>
      </c>
      <c r="E111" s="195" t="s">
        <v>11</v>
      </c>
      <c r="H111" s="10"/>
      <c r="I111" s="10"/>
      <c r="J111" s="46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x14ac:dyDescent="0.2">
      <c r="A112" s="10">
        <v>20147</v>
      </c>
      <c r="B112" s="11">
        <v>42537</v>
      </c>
      <c r="C112" s="185">
        <v>28.6</v>
      </c>
      <c r="D112" s="185"/>
      <c r="E112" s="195" t="s">
        <v>17</v>
      </c>
      <c r="F112" s="21"/>
      <c r="G112" s="22"/>
      <c r="H112" s="10"/>
      <c r="I112" s="10"/>
      <c r="J112" s="46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x14ac:dyDescent="0.2">
      <c r="A113" s="10">
        <v>20148</v>
      </c>
      <c r="B113" s="11">
        <v>42537</v>
      </c>
      <c r="C113" s="185">
        <v>210</v>
      </c>
      <c r="D113" s="185">
        <v>18.29</v>
      </c>
      <c r="E113" s="218"/>
      <c r="H113" s="12"/>
      <c r="I113" s="10"/>
      <c r="J113" s="46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x14ac:dyDescent="0.2">
      <c r="A114" s="10">
        <v>20149</v>
      </c>
      <c r="B114" s="11">
        <v>42537</v>
      </c>
      <c r="C114" s="185">
        <v>74.69</v>
      </c>
      <c r="D114" s="185">
        <v>5.69</v>
      </c>
      <c r="E114" s="195" t="s">
        <v>7</v>
      </c>
      <c r="F114" s="21"/>
      <c r="G114" s="22"/>
      <c r="H114" s="10"/>
      <c r="I114" s="10"/>
      <c r="J114" s="46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x14ac:dyDescent="0.2">
      <c r="A115" s="10">
        <v>20150</v>
      </c>
      <c r="B115" s="11">
        <v>42537</v>
      </c>
      <c r="C115" s="185">
        <v>41</v>
      </c>
      <c r="D115" s="185"/>
      <c r="E115" s="195" t="s">
        <v>25</v>
      </c>
      <c r="F115" s="21"/>
      <c r="G115" s="22"/>
      <c r="H115" s="10"/>
      <c r="I115" s="10"/>
      <c r="J115" s="46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x14ac:dyDescent="0.2">
      <c r="A116" s="10">
        <v>20151</v>
      </c>
      <c r="B116" s="11">
        <v>42537</v>
      </c>
      <c r="C116" s="185">
        <v>15</v>
      </c>
      <c r="D116" s="185">
        <v>1.1399999999999999</v>
      </c>
      <c r="E116" s="194"/>
      <c r="H116" s="12"/>
      <c r="I116" s="10"/>
      <c r="J116" s="46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x14ac:dyDescent="0.2">
      <c r="A117" s="10">
        <v>20152</v>
      </c>
      <c r="B117" s="11">
        <v>42537</v>
      </c>
      <c r="C117" s="12">
        <v>16</v>
      </c>
      <c r="D117" s="12">
        <v>1.22</v>
      </c>
      <c r="E117" s="17"/>
      <c r="F117" s="20">
        <f>+C109+C111+C114+C90+158.43</f>
        <v>535.67999999999995</v>
      </c>
      <c r="G117" s="20">
        <v>524.80999999999995</v>
      </c>
      <c r="H117" s="12"/>
      <c r="I117" s="10"/>
      <c r="J117" s="46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x14ac:dyDescent="0.2">
      <c r="A118" s="10">
        <v>20153</v>
      </c>
      <c r="B118" s="11">
        <v>42538</v>
      </c>
      <c r="C118" s="12">
        <v>107.17</v>
      </c>
      <c r="D118" s="12">
        <v>8.17</v>
      </c>
      <c r="E118" s="17"/>
      <c r="F118" s="18"/>
      <c r="G118" s="19"/>
      <c r="H118" s="12"/>
      <c r="I118" s="10"/>
      <c r="J118" s="46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x14ac:dyDescent="0.2">
      <c r="A119" s="10">
        <v>20154</v>
      </c>
      <c r="B119" s="11">
        <v>42538</v>
      </c>
      <c r="C119" s="12">
        <v>8.66</v>
      </c>
      <c r="D119" s="12">
        <v>0.66</v>
      </c>
      <c r="E119" s="17"/>
      <c r="F119" s="18"/>
      <c r="G119" s="19"/>
      <c r="H119" s="12"/>
      <c r="I119" s="10"/>
      <c r="J119" s="46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x14ac:dyDescent="0.2">
      <c r="A120" s="10">
        <v>20155</v>
      </c>
      <c r="B120" s="11">
        <v>42538</v>
      </c>
      <c r="C120" s="12">
        <v>25.98</v>
      </c>
      <c r="D120" s="12">
        <v>1.98</v>
      </c>
      <c r="E120" s="17"/>
      <c r="F120" s="18"/>
      <c r="G120" s="19"/>
      <c r="H120" s="12"/>
      <c r="I120" s="10"/>
      <c r="J120" s="46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x14ac:dyDescent="0.2">
      <c r="A121" s="10">
        <v>20156</v>
      </c>
      <c r="B121" s="11">
        <v>42538</v>
      </c>
      <c r="C121" s="12">
        <v>55.21</v>
      </c>
      <c r="D121" s="12">
        <v>4.21</v>
      </c>
      <c r="E121" s="15" t="s">
        <v>21</v>
      </c>
      <c r="H121" s="10"/>
      <c r="I121" s="10"/>
      <c r="J121" s="46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x14ac:dyDescent="0.2">
      <c r="A122" s="10">
        <v>20157</v>
      </c>
      <c r="B122" s="11">
        <v>42538</v>
      </c>
      <c r="C122" s="12">
        <v>183.48</v>
      </c>
      <c r="D122" s="12">
        <v>13.98</v>
      </c>
      <c r="E122" s="15" t="s">
        <v>11</v>
      </c>
      <c r="H122" s="10"/>
      <c r="I122" s="10"/>
      <c r="J122" s="46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x14ac:dyDescent="0.2">
      <c r="A123" s="10">
        <v>20158</v>
      </c>
      <c r="B123" s="11">
        <v>42538</v>
      </c>
      <c r="C123" s="12">
        <v>71.45</v>
      </c>
      <c r="D123" s="12">
        <v>5.45</v>
      </c>
      <c r="E123" s="15" t="s">
        <v>25</v>
      </c>
      <c r="F123" s="21"/>
      <c r="G123" s="22"/>
      <c r="H123" s="10"/>
      <c r="I123" s="10"/>
      <c r="J123" s="46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x14ac:dyDescent="0.2">
      <c r="A124" s="10">
        <v>20159</v>
      </c>
      <c r="B124" s="11">
        <v>42538</v>
      </c>
      <c r="C124" s="12">
        <v>6.3900000000000006</v>
      </c>
      <c r="D124" s="12">
        <v>0.49</v>
      </c>
      <c r="E124" s="15" t="s">
        <v>11</v>
      </c>
      <c r="H124" s="10"/>
      <c r="I124" s="10"/>
      <c r="J124" s="46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x14ac:dyDescent="0.2">
      <c r="A125" s="10">
        <v>20160</v>
      </c>
      <c r="B125" s="11">
        <v>42538</v>
      </c>
      <c r="C125" s="12">
        <v>19</v>
      </c>
      <c r="D125" s="12"/>
      <c r="E125" s="15" t="s">
        <v>11</v>
      </c>
      <c r="F125" s="21"/>
      <c r="G125" s="22"/>
      <c r="H125" s="10"/>
      <c r="I125" s="10"/>
      <c r="J125" s="46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x14ac:dyDescent="0.2">
      <c r="A126" s="10">
        <v>20161</v>
      </c>
      <c r="B126" s="11">
        <v>42538</v>
      </c>
      <c r="C126" s="12">
        <v>28.15</v>
      </c>
      <c r="D126" s="12">
        <v>2.15</v>
      </c>
      <c r="E126" s="15" t="s">
        <v>7</v>
      </c>
      <c r="F126" s="21"/>
      <c r="G126" s="22"/>
      <c r="H126" s="10"/>
      <c r="I126" s="10"/>
      <c r="J126" s="46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x14ac:dyDescent="0.2">
      <c r="A127" s="10">
        <v>20162</v>
      </c>
      <c r="B127" s="11">
        <v>42538</v>
      </c>
      <c r="C127" s="12">
        <v>355</v>
      </c>
      <c r="D127" s="12">
        <v>27.06</v>
      </c>
      <c r="E127" s="15" t="s">
        <v>688</v>
      </c>
      <c r="H127" s="10"/>
      <c r="I127" s="10"/>
      <c r="J127" s="46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x14ac:dyDescent="0.2">
      <c r="A128" s="10">
        <v>20163</v>
      </c>
      <c r="B128" s="11">
        <v>42538</v>
      </c>
      <c r="C128" s="12">
        <v>16.13</v>
      </c>
      <c r="D128" s="12">
        <v>1.23</v>
      </c>
      <c r="E128" s="15" t="s">
        <v>11</v>
      </c>
      <c r="H128" s="10"/>
      <c r="I128" s="10"/>
      <c r="J128" s="4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x14ac:dyDescent="0.2">
      <c r="A129" s="10">
        <v>20164</v>
      </c>
      <c r="B129" s="11">
        <v>42538</v>
      </c>
      <c r="C129" s="12">
        <v>29.23</v>
      </c>
      <c r="D129" s="12">
        <v>2.23</v>
      </c>
      <c r="E129" s="15" t="s">
        <v>11</v>
      </c>
      <c r="H129" s="10"/>
      <c r="I129" s="10"/>
      <c r="J129" s="4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x14ac:dyDescent="0.2">
      <c r="A130" s="10">
        <v>20165</v>
      </c>
      <c r="B130" s="11">
        <v>42538</v>
      </c>
      <c r="C130" s="12">
        <v>719.86</v>
      </c>
      <c r="D130" s="12">
        <v>54.86</v>
      </c>
      <c r="E130" s="15" t="s">
        <v>689</v>
      </c>
      <c r="F130" s="20">
        <f>+C122-150+C124+C125+C126+C96+C128+C129+45.52+500</f>
        <v>755.83999999999992</v>
      </c>
      <c r="G130" s="20">
        <v>746.44</v>
      </c>
      <c r="H130" s="10"/>
      <c r="I130" s="10"/>
      <c r="J130" s="46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x14ac:dyDescent="0.2">
      <c r="A131" s="10">
        <v>20166</v>
      </c>
      <c r="B131" s="11">
        <v>42539</v>
      </c>
      <c r="C131" s="12">
        <v>140.72999999999999</v>
      </c>
      <c r="D131" s="12">
        <v>10.73</v>
      </c>
      <c r="E131" s="15" t="s">
        <v>21</v>
      </c>
      <c r="H131" s="10"/>
      <c r="I131" s="10"/>
      <c r="J131" s="46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x14ac:dyDescent="0.2">
      <c r="A132" s="10">
        <v>20167</v>
      </c>
      <c r="B132" s="11">
        <v>42539</v>
      </c>
      <c r="C132" s="12">
        <v>466.56</v>
      </c>
      <c r="D132" s="12">
        <v>35.56</v>
      </c>
      <c r="E132" s="15" t="s">
        <v>690</v>
      </c>
      <c r="H132" s="10"/>
      <c r="I132" s="10"/>
      <c r="J132" s="4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x14ac:dyDescent="0.2">
      <c r="A133" s="10">
        <v>20168</v>
      </c>
      <c r="B133" s="11">
        <v>42539</v>
      </c>
      <c r="C133" s="185">
        <v>189.44</v>
      </c>
      <c r="D133" s="185">
        <v>14.44</v>
      </c>
      <c r="E133" s="195" t="s">
        <v>7</v>
      </c>
      <c r="F133" s="21"/>
      <c r="G133" s="22"/>
      <c r="H133" s="10"/>
      <c r="I133" s="10"/>
      <c r="J133" s="4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x14ac:dyDescent="0.2">
      <c r="A134" s="10">
        <v>20169</v>
      </c>
      <c r="B134" s="11">
        <v>42539</v>
      </c>
      <c r="C134" s="185">
        <v>50</v>
      </c>
      <c r="D134" s="185">
        <v>3.82</v>
      </c>
      <c r="E134" s="195" t="s">
        <v>533</v>
      </c>
      <c r="I134" s="10"/>
      <c r="J134" s="4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x14ac:dyDescent="0.2">
      <c r="A135" s="10">
        <v>20170</v>
      </c>
      <c r="B135" s="11">
        <v>42539</v>
      </c>
      <c r="C135" s="185">
        <v>378.6</v>
      </c>
      <c r="D135" s="185">
        <v>28.85</v>
      </c>
      <c r="E135" s="218" t="s">
        <v>691</v>
      </c>
      <c r="F135" s="18"/>
      <c r="G135" s="19"/>
      <c r="H135" s="12"/>
      <c r="I135" s="10"/>
      <c r="J135" s="46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x14ac:dyDescent="0.2">
      <c r="A136" s="10">
        <v>20171</v>
      </c>
      <c r="B136" s="11">
        <v>42539</v>
      </c>
      <c r="C136" s="185">
        <v>20.57</v>
      </c>
      <c r="D136" s="185">
        <v>1.57</v>
      </c>
      <c r="E136" s="195" t="s">
        <v>11</v>
      </c>
      <c r="F136" s="21"/>
      <c r="G136" s="22"/>
      <c r="H136" s="10"/>
      <c r="I136" s="10"/>
      <c r="J136" s="46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x14ac:dyDescent="0.2">
      <c r="A137" s="10">
        <v>20172</v>
      </c>
      <c r="B137" s="11">
        <v>42539</v>
      </c>
      <c r="C137" s="185">
        <v>111.44</v>
      </c>
      <c r="D137" s="185">
        <v>8.49</v>
      </c>
      <c r="E137" s="195" t="s">
        <v>11</v>
      </c>
      <c r="F137" s="21"/>
      <c r="G137" s="22"/>
      <c r="H137" s="10"/>
      <c r="I137" s="10"/>
      <c r="J137" s="4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x14ac:dyDescent="0.2">
      <c r="A138" s="10">
        <v>20173</v>
      </c>
      <c r="B138" s="11">
        <v>42539</v>
      </c>
      <c r="C138" s="185">
        <v>435</v>
      </c>
      <c r="D138" s="185">
        <v>33.53</v>
      </c>
      <c r="E138" s="218" t="s">
        <v>692</v>
      </c>
      <c r="F138" s="18"/>
      <c r="G138" s="19"/>
      <c r="H138" s="12"/>
      <c r="I138" s="10"/>
      <c r="J138" s="4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x14ac:dyDescent="0.2">
      <c r="A139" s="10">
        <v>20174</v>
      </c>
      <c r="B139" s="11">
        <v>42539</v>
      </c>
      <c r="C139" s="185">
        <v>82.27</v>
      </c>
      <c r="D139" s="185">
        <v>6.27</v>
      </c>
      <c r="E139" s="195" t="s">
        <v>7</v>
      </c>
      <c r="F139" s="21"/>
      <c r="G139" s="22"/>
      <c r="H139" s="10"/>
      <c r="I139" s="10"/>
      <c r="J139" s="4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x14ac:dyDescent="0.2">
      <c r="A140" s="10">
        <v>20175</v>
      </c>
      <c r="B140" s="11">
        <v>42539</v>
      </c>
      <c r="C140" s="185">
        <v>43.3</v>
      </c>
      <c r="D140" s="185">
        <v>3.3</v>
      </c>
      <c r="E140" s="195" t="s">
        <v>21</v>
      </c>
      <c r="F140" s="46"/>
      <c r="I140" s="10"/>
      <c r="J140" s="4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x14ac:dyDescent="0.2">
      <c r="A141" s="10">
        <v>20176</v>
      </c>
      <c r="B141" s="11">
        <v>42539</v>
      </c>
      <c r="C141" s="185">
        <v>175.37</v>
      </c>
      <c r="D141" s="185">
        <v>13.37</v>
      </c>
      <c r="E141" s="195" t="s">
        <v>11</v>
      </c>
      <c r="I141" s="10"/>
      <c r="J141" s="46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x14ac:dyDescent="0.2">
      <c r="A142" s="10">
        <v>20177</v>
      </c>
      <c r="B142" s="11">
        <v>42539</v>
      </c>
      <c r="C142" s="185">
        <v>246</v>
      </c>
      <c r="D142" s="185"/>
      <c r="E142" s="218" t="s">
        <v>8</v>
      </c>
      <c r="I142" s="10"/>
      <c r="J142" s="46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x14ac:dyDescent="0.2">
      <c r="A143" s="10">
        <v>20178</v>
      </c>
      <c r="B143" s="11">
        <v>42540</v>
      </c>
      <c r="C143" s="185">
        <v>221.91</v>
      </c>
      <c r="D143" s="185">
        <v>16.91</v>
      </c>
      <c r="E143" s="195" t="s">
        <v>7</v>
      </c>
      <c r="F143" s="20">
        <f>+C133+78.6+C136+C137+200+C139+C141+221.91+50</f>
        <v>1129.5999999999999</v>
      </c>
      <c r="G143" s="20">
        <f>1065.02+48.62</f>
        <v>1113.6399999999999</v>
      </c>
      <c r="H143" s="114"/>
      <c r="I143" s="10"/>
      <c r="J143" s="46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x14ac:dyDescent="0.2">
      <c r="A144" s="10">
        <v>20179</v>
      </c>
      <c r="B144" s="11">
        <v>42541</v>
      </c>
      <c r="C144" s="185">
        <v>81.19</v>
      </c>
      <c r="D144" s="185">
        <v>6.19</v>
      </c>
      <c r="E144" s="195" t="s">
        <v>7</v>
      </c>
      <c r="H144" s="10"/>
      <c r="I144" s="10"/>
      <c r="J144" s="46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x14ac:dyDescent="0.2">
      <c r="A145" s="10">
        <v>20180</v>
      </c>
      <c r="B145" s="11">
        <v>42541</v>
      </c>
      <c r="C145" s="185">
        <v>251.08999999999997</v>
      </c>
      <c r="D145" s="185">
        <v>19.14</v>
      </c>
      <c r="E145" s="195" t="s">
        <v>21</v>
      </c>
      <c r="H145" s="10"/>
      <c r="I145" s="10"/>
      <c r="J145" s="46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x14ac:dyDescent="0.2">
      <c r="A146" s="10">
        <v>20181</v>
      </c>
      <c r="B146" s="11">
        <v>42541</v>
      </c>
      <c r="C146" s="185">
        <v>30.31</v>
      </c>
      <c r="D146" s="185">
        <v>2.31</v>
      </c>
      <c r="E146" s="194"/>
      <c r="F146" s="18"/>
      <c r="G146" s="19"/>
      <c r="H146" s="12"/>
      <c r="I146" s="10"/>
      <c r="J146" s="46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x14ac:dyDescent="0.2">
      <c r="A147" s="10">
        <v>20182</v>
      </c>
      <c r="B147" s="11">
        <v>42541</v>
      </c>
      <c r="C147" s="185">
        <v>74.69</v>
      </c>
      <c r="D147" s="185">
        <v>5.69</v>
      </c>
      <c r="E147" s="195" t="s">
        <v>11</v>
      </c>
      <c r="F147" s="21"/>
      <c r="G147" s="22"/>
      <c r="H147" s="10"/>
      <c r="I147" s="10"/>
      <c r="J147" s="46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x14ac:dyDescent="0.2">
      <c r="A148" s="10">
        <v>20183</v>
      </c>
      <c r="B148" s="11">
        <v>42541</v>
      </c>
      <c r="C148" s="185">
        <v>34</v>
      </c>
      <c r="D148" s="185">
        <v>0</v>
      </c>
      <c r="E148" s="195" t="s">
        <v>693</v>
      </c>
      <c r="F148" s="21"/>
      <c r="G148" s="22"/>
      <c r="H148" s="10"/>
      <c r="I148" s="10"/>
      <c r="J148" s="46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x14ac:dyDescent="0.2">
      <c r="A149" s="10">
        <v>20184</v>
      </c>
      <c r="B149" s="11">
        <v>42541</v>
      </c>
      <c r="C149" s="185">
        <v>10.77</v>
      </c>
      <c r="D149" s="185">
        <v>0.82</v>
      </c>
      <c r="E149" s="195" t="s">
        <v>7</v>
      </c>
      <c r="H149" s="10"/>
      <c r="I149" s="10"/>
      <c r="J149" s="46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x14ac:dyDescent="0.2">
      <c r="A150" s="10">
        <v>20185</v>
      </c>
      <c r="B150" s="11">
        <v>42541</v>
      </c>
      <c r="C150" s="185">
        <v>178.07</v>
      </c>
      <c r="D150" s="185">
        <v>13.57</v>
      </c>
      <c r="E150" s="194"/>
      <c r="H150" s="12"/>
      <c r="I150" s="10"/>
      <c r="J150" s="46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x14ac:dyDescent="0.2">
      <c r="A151" s="10">
        <v>20186</v>
      </c>
      <c r="B151" s="11">
        <v>42541</v>
      </c>
      <c r="C151" s="185">
        <v>215</v>
      </c>
      <c r="D151" s="185">
        <v>16.39</v>
      </c>
      <c r="E151" s="195" t="s">
        <v>21</v>
      </c>
      <c r="H151" s="10"/>
      <c r="I151" s="10"/>
      <c r="J151" s="46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x14ac:dyDescent="0.2">
      <c r="A152" s="10">
        <v>20187</v>
      </c>
      <c r="B152" s="11">
        <v>42541</v>
      </c>
      <c r="C152" s="185">
        <v>-10.77</v>
      </c>
      <c r="D152" s="185">
        <v>-0.82</v>
      </c>
      <c r="E152" s="195" t="s">
        <v>7</v>
      </c>
      <c r="H152" s="10"/>
      <c r="I152" s="10"/>
      <c r="J152" s="46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x14ac:dyDescent="0.2">
      <c r="A153" s="10">
        <v>20188</v>
      </c>
      <c r="B153" s="11">
        <v>42541</v>
      </c>
      <c r="C153" s="185">
        <v>161.1</v>
      </c>
      <c r="D153" s="185"/>
      <c r="E153" s="195" t="s">
        <v>363</v>
      </c>
      <c r="F153" s="20">
        <f>+C144+C147+C149+C152</f>
        <v>155.88</v>
      </c>
      <c r="G153" s="20">
        <v>154.35</v>
      </c>
      <c r="H153" s="10"/>
      <c r="I153" s="10"/>
      <c r="J153" s="46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x14ac:dyDescent="0.2">
      <c r="A154" s="10">
        <v>20189</v>
      </c>
      <c r="B154" s="11">
        <v>42542</v>
      </c>
      <c r="C154" s="185">
        <v>34.480000000000004</v>
      </c>
      <c r="D154" s="185">
        <v>2.63</v>
      </c>
      <c r="E154" s="195" t="s">
        <v>11</v>
      </c>
      <c r="F154" s="207"/>
      <c r="G154" s="207"/>
      <c r="H154" s="10"/>
      <c r="I154" s="10"/>
      <c r="J154" s="46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x14ac:dyDescent="0.2">
      <c r="A155" s="10">
        <v>20190</v>
      </c>
      <c r="B155" s="11">
        <v>42542</v>
      </c>
      <c r="C155" s="185">
        <v>5.3900000000000006</v>
      </c>
      <c r="D155" s="185">
        <v>0.41</v>
      </c>
      <c r="E155" s="194"/>
      <c r="H155" s="12"/>
      <c r="I155" s="10"/>
      <c r="J155" s="46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x14ac:dyDescent="0.2">
      <c r="A156" s="10">
        <v>20191</v>
      </c>
      <c r="B156" s="11">
        <v>42542</v>
      </c>
      <c r="C156" s="185">
        <v>33</v>
      </c>
      <c r="D156" s="185"/>
      <c r="E156" s="195" t="s">
        <v>25</v>
      </c>
      <c r="H156" s="10"/>
      <c r="I156" s="10"/>
      <c r="J156" s="46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x14ac:dyDescent="0.2">
      <c r="A157" s="10">
        <v>20192</v>
      </c>
      <c r="B157" s="11">
        <v>42542</v>
      </c>
      <c r="C157" s="185">
        <v>110</v>
      </c>
      <c r="D157" s="185">
        <v>8.3800000000000008</v>
      </c>
      <c r="E157" s="194"/>
      <c r="H157" s="12"/>
      <c r="I157" s="10"/>
      <c r="J157" s="46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x14ac:dyDescent="0.2">
      <c r="A158" s="10">
        <v>20193</v>
      </c>
      <c r="B158" s="11">
        <v>42542</v>
      </c>
      <c r="C158" s="185">
        <v>29.1</v>
      </c>
      <c r="D158" s="185"/>
      <c r="E158" s="195" t="s">
        <v>694</v>
      </c>
      <c r="F158" s="21"/>
      <c r="G158" s="22"/>
      <c r="H158" s="10"/>
      <c r="I158" s="10"/>
      <c r="J158" s="46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x14ac:dyDescent="0.2">
      <c r="A159" s="10">
        <v>20194</v>
      </c>
      <c r="B159" s="11">
        <v>42542</v>
      </c>
      <c r="C159" s="185">
        <v>128.13999999999999</v>
      </c>
      <c r="D159" s="185"/>
      <c r="E159" s="195" t="s">
        <v>363</v>
      </c>
      <c r="F159" s="115"/>
      <c r="G159" s="115"/>
      <c r="H159" s="10"/>
      <c r="I159" s="10"/>
      <c r="J159" s="46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x14ac:dyDescent="0.2">
      <c r="A160" s="10">
        <v>20195</v>
      </c>
      <c r="B160" s="11">
        <v>42542</v>
      </c>
      <c r="C160" s="185">
        <v>34.64</v>
      </c>
      <c r="D160" s="185">
        <v>2.64</v>
      </c>
      <c r="E160" s="195" t="s">
        <v>11</v>
      </c>
      <c r="F160" s="21"/>
      <c r="G160" s="22"/>
      <c r="H160" s="10"/>
      <c r="I160" s="10"/>
      <c r="J160" s="46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x14ac:dyDescent="0.2">
      <c r="A161" s="10">
        <v>20196</v>
      </c>
      <c r="B161" s="11">
        <v>42542</v>
      </c>
      <c r="C161" s="185">
        <v>32.14</v>
      </c>
      <c r="D161" s="185"/>
      <c r="E161" s="195" t="s">
        <v>365</v>
      </c>
      <c r="F161" s="21"/>
      <c r="G161" s="22"/>
      <c r="H161" s="10"/>
      <c r="I161" s="10"/>
      <c r="J161" s="46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x14ac:dyDescent="0.2">
      <c r="A162" s="10">
        <v>20197</v>
      </c>
      <c r="B162" s="11">
        <v>42542</v>
      </c>
      <c r="C162" s="185">
        <v>25.76</v>
      </c>
      <c r="D162" s="185"/>
      <c r="E162" s="218" t="s">
        <v>365</v>
      </c>
      <c r="F162" s="115"/>
      <c r="G162" s="115"/>
      <c r="H162" s="12"/>
      <c r="I162" s="10"/>
      <c r="J162" s="46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x14ac:dyDescent="0.2">
      <c r="A163" s="10">
        <v>20198</v>
      </c>
      <c r="B163" s="11">
        <v>42542</v>
      </c>
      <c r="C163" s="185">
        <v>10.37</v>
      </c>
      <c r="D163" s="185"/>
      <c r="E163" s="194"/>
      <c r="F163" s="18"/>
      <c r="G163" s="19"/>
      <c r="H163" s="12"/>
      <c r="I163" s="10"/>
      <c r="J163" s="46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x14ac:dyDescent="0.2">
      <c r="A164" s="10">
        <v>20199</v>
      </c>
      <c r="B164" s="11">
        <v>42542</v>
      </c>
      <c r="C164" s="185">
        <v>460</v>
      </c>
      <c r="D164" s="185">
        <v>35.06</v>
      </c>
      <c r="E164" s="195" t="s">
        <v>7</v>
      </c>
      <c r="H164" s="10"/>
      <c r="I164" s="10"/>
      <c r="J164" s="46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x14ac:dyDescent="0.2">
      <c r="A165" s="10">
        <v>20200</v>
      </c>
      <c r="B165" s="11">
        <v>42542</v>
      </c>
      <c r="C165" s="185">
        <v>27</v>
      </c>
      <c r="D165" s="185"/>
      <c r="E165" s="195" t="s">
        <v>365</v>
      </c>
      <c r="H165" s="12"/>
      <c r="I165" s="10"/>
      <c r="J165" s="46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x14ac:dyDescent="0.2">
      <c r="A166" s="10">
        <v>20201</v>
      </c>
      <c r="B166" s="11">
        <v>42542</v>
      </c>
      <c r="C166" s="185">
        <v>36.610000000000014</v>
      </c>
      <c r="D166" s="185"/>
      <c r="E166" s="218" t="s">
        <v>365</v>
      </c>
      <c r="F166" s="20">
        <f>251.09+C154+C160+200</f>
        <v>520.21</v>
      </c>
      <c r="G166" s="20">
        <v>512.79</v>
      </c>
      <c r="H166" s="161"/>
      <c r="I166" s="10"/>
      <c r="J166" s="46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x14ac:dyDescent="0.2">
      <c r="A167" s="10">
        <v>20202</v>
      </c>
      <c r="B167" s="11">
        <v>42543</v>
      </c>
      <c r="C167" s="185">
        <v>497.95</v>
      </c>
      <c r="D167" s="185">
        <v>37.950000000000003</v>
      </c>
      <c r="E167" s="195" t="s">
        <v>11</v>
      </c>
      <c r="I167" s="10"/>
      <c r="J167" s="46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x14ac:dyDescent="0.2">
      <c r="A168" s="10">
        <v>20203</v>
      </c>
      <c r="B168" s="11">
        <v>42543</v>
      </c>
      <c r="C168" s="185">
        <v>9.74</v>
      </c>
      <c r="D168" s="185">
        <v>0.74</v>
      </c>
      <c r="E168" s="194"/>
      <c r="I168" s="10"/>
      <c r="J168" s="46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x14ac:dyDescent="0.2">
      <c r="A169" s="10">
        <v>20204</v>
      </c>
      <c r="B169" s="11">
        <v>42543</v>
      </c>
      <c r="C169" s="185">
        <v>49.69</v>
      </c>
      <c r="D169" s="185">
        <v>3.79</v>
      </c>
      <c r="E169" s="195" t="s">
        <v>11</v>
      </c>
      <c r="F169" s="20">
        <f>+C169+C156+7.05+C167+97.42</f>
        <v>685.1099999999999</v>
      </c>
      <c r="G169" s="20">
        <f>585.05+94.74</f>
        <v>679.79</v>
      </c>
      <c r="H169" s="161"/>
      <c r="I169" s="10"/>
      <c r="J169" s="46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x14ac:dyDescent="0.2">
      <c r="A170" s="10">
        <v>20205</v>
      </c>
      <c r="B170" s="11">
        <v>42544</v>
      </c>
      <c r="C170" s="185">
        <v>45.47</v>
      </c>
      <c r="D170" s="185">
        <v>3.47</v>
      </c>
      <c r="E170" s="195" t="s">
        <v>7</v>
      </c>
      <c r="H170" s="10"/>
      <c r="I170" s="10"/>
      <c r="J170" s="46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x14ac:dyDescent="0.2">
      <c r="A171" s="10">
        <v>20206</v>
      </c>
      <c r="B171" s="11">
        <v>42544</v>
      </c>
      <c r="C171" s="185">
        <v>25.98</v>
      </c>
      <c r="D171" s="185">
        <v>1.98</v>
      </c>
      <c r="E171" s="195"/>
      <c r="F171" s="21"/>
      <c r="G171" s="22"/>
      <c r="H171" s="10"/>
      <c r="I171" s="10"/>
      <c r="J171" s="46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x14ac:dyDescent="0.2">
      <c r="A172" s="10">
        <v>20207</v>
      </c>
      <c r="B172" s="11">
        <v>42544</v>
      </c>
      <c r="C172" s="185">
        <v>21.599999999999998</v>
      </c>
      <c r="D172" s="185">
        <v>1.65</v>
      </c>
      <c r="E172" s="195" t="s">
        <v>533</v>
      </c>
      <c r="I172" s="10"/>
      <c r="J172" s="46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x14ac:dyDescent="0.2">
      <c r="A173" s="10">
        <v>20208</v>
      </c>
      <c r="B173" s="11">
        <v>42544</v>
      </c>
      <c r="C173" s="185">
        <v>78.05</v>
      </c>
      <c r="D173" s="185">
        <v>5.95</v>
      </c>
      <c r="E173" s="195" t="s">
        <v>533</v>
      </c>
      <c r="I173" s="10"/>
      <c r="J173" s="46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x14ac:dyDescent="0.2">
      <c r="A174" s="10">
        <v>20209</v>
      </c>
      <c r="B174" s="11">
        <v>42544</v>
      </c>
      <c r="C174" s="185">
        <v>119.08</v>
      </c>
      <c r="D174" s="185">
        <v>9.08</v>
      </c>
      <c r="E174" s="195" t="s">
        <v>533</v>
      </c>
      <c r="I174" s="10"/>
      <c r="J174" s="46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x14ac:dyDescent="0.2">
      <c r="A175" s="10">
        <v>20210</v>
      </c>
      <c r="B175" s="11">
        <v>42544</v>
      </c>
      <c r="C175" s="185">
        <v>0</v>
      </c>
      <c r="D175" s="185"/>
      <c r="E175" s="218" t="s">
        <v>695</v>
      </c>
      <c r="I175" s="10"/>
      <c r="J175" s="46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x14ac:dyDescent="0.2">
      <c r="A176" s="10">
        <v>20211</v>
      </c>
      <c r="B176" s="11">
        <v>42544</v>
      </c>
      <c r="C176" s="185">
        <v>50</v>
      </c>
      <c r="D176" s="185"/>
      <c r="E176" s="195" t="s">
        <v>25</v>
      </c>
      <c r="F176" s="21"/>
      <c r="G176" s="22"/>
      <c r="H176" s="10"/>
      <c r="I176" s="10"/>
      <c r="J176" s="46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x14ac:dyDescent="0.2">
      <c r="A177" s="10">
        <v>20212</v>
      </c>
      <c r="B177" s="11">
        <v>42544</v>
      </c>
      <c r="C177" s="185">
        <v>48.71</v>
      </c>
      <c r="D177" s="185">
        <v>3.71</v>
      </c>
      <c r="E177" s="195" t="s">
        <v>7</v>
      </c>
      <c r="F177" s="20">
        <f>+C170+425.08+C177+0.4+149.65</f>
        <v>669.31</v>
      </c>
      <c r="G177" s="20">
        <f>509.93+145.53</f>
        <v>655.46</v>
      </c>
      <c r="H177" s="114"/>
      <c r="I177" s="10"/>
      <c r="J177" s="46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x14ac:dyDescent="0.2">
      <c r="A178" s="10">
        <v>20213</v>
      </c>
      <c r="B178" s="11">
        <v>42545</v>
      </c>
      <c r="C178" s="185">
        <v>313.93</v>
      </c>
      <c r="D178" s="185">
        <v>23.93</v>
      </c>
      <c r="E178" s="218" t="s">
        <v>696</v>
      </c>
      <c r="H178" s="12"/>
      <c r="I178" s="10"/>
      <c r="J178" s="46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x14ac:dyDescent="0.2">
      <c r="A179" s="10">
        <v>20214</v>
      </c>
      <c r="B179" s="11">
        <v>42545</v>
      </c>
      <c r="C179" s="185">
        <v>230.57</v>
      </c>
      <c r="D179" s="185">
        <v>17.57</v>
      </c>
      <c r="E179" s="195"/>
      <c r="H179" s="10"/>
      <c r="I179" s="10"/>
      <c r="J179" s="46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x14ac:dyDescent="0.2">
      <c r="A180" s="10">
        <v>20215</v>
      </c>
      <c r="B180" s="11">
        <v>42545</v>
      </c>
      <c r="C180" s="185">
        <v>200</v>
      </c>
      <c r="D180" s="185">
        <v>15.24</v>
      </c>
      <c r="E180" s="194"/>
      <c r="F180" s="18"/>
      <c r="G180" s="19"/>
      <c r="H180" s="12"/>
      <c r="I180" s="10"/>
      <c r="J180" s="46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x14ac:dyDescent="0.2">
      <c r="A181" s="10">
        <v>20216</v>
      </c>
      <c r="B181" s="11">
        <v>42545</v>
      </c>
      <c r="C181" s="185">
        <v>125</v>
      </c>
      <c r="D181" s="185"/>
      <c r="E181" s="195" t="s">
        <v>25</v>
      </c>
      <c r="F181" s="21"/>
      <c r="G181" s="22"/>
      <c r="H181" s="10"/>
      <c r="I181" s="10"/>
      <c r="J181" s="46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x14ac:dyDescent="0.2">
      <c r="A182" s="10">
        <v>20217</v>
      </c>
      <c r="B182" s="11">
        <v>42545</v>
      </c>
      <c r="C182" s="185">
        <v>100</v>
      </c>
      <c r="D182" s="185">
        <v>7.62</v>
      </c>
      <c r="E182" s="194"/>
      <c r="H182" s="12"/>
      <c r="I182" s="10"/>
      <c r="J182" s="46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x14ac:dyDescent="0.2">
      <c r="A183" s="10">
        <v>20218</v>
      </c>
      <c r="B183" s="11">
        <v>42545</v>
      </c>
      <c r="C183" s="185">
        <v>161.83000000000001</v>
      </c>
      <c r="D183" s="185">
        <v>12.33</v>
      </c>
      <c r="E183" s="195" t="s">
        <v>533</v>
      </c>
      <c r="I183" s="10"/>
      <c r="J183" s="46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x14ac:dyDescent="0.2">
      <c r="A184" s="10">
        <v>20219</v>
      </c>
      <c r="B184" s="11">
        <v>42545</v>
      </c>
      <c r="C184" s="185">
        <v>301</v>
      </c>
      <c r="D184" s="185"/>
      <c r="E184" s="195" t="s">
        <v>693</v>
      </c>
      <c r="I184" s="10"/>
      <c r="J184" s="46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x14ac:dyDescent="0.2">
      <c r="A185" s="10">
        <v>20220</v>
      </c>
      <c r="B185" s="11">
        <v>42545</v>
      </c>
      <c r="C185" s="185">
        <v>0</v>
      </c>
      <c r="D185" s="185">
        <v>0</v>
      </c>
      <c r="E185" s="218" t="s">
        <v>697</v>
      </c>
      <c r="I185" s="10"/>
      <c r="J185" s="46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x14ac:dyDescent="0.2">
      <c r="A186" s="10">
        <v>20221</v>
      </c>
      <c r="B186" s="11">
        <v>42545</v>
      </c>
      <c r="C186" s="185">
        <v>6.44</v>
      </c>
      <c r="D186" s="185">
        <v>0.49</v>
      </c>
      <c r="E186" s="194"/>
      <c r="I186" s="10"/>
      <c r="J186" s="46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x14ac:dyDescent="0.2">
      <c r="A187" s="10">
        <v>20222</v>
      </c>
      <c r="B187" s="11">
        <v>42545</v>
      </c>
      <c r="C187" s="185">
        <v>16.239999999999998</v>
      </c>
      <c r="D187" s="185">
        <v>1.24</v>
      </c>
      <c r="E187" s="195" t="s">
        <v>11</v>
      </c>
      <c r="I187" s="10"/>
      <c r="J187" s="46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x14ac:dyDescent="0.2">
      <c r="A188" s="10">
        <v>20223</v>
      </c>
      <c r="B188" s="11">
        <v>42545</v>
      </c>
      <c r="C188" s="185">
        <v>19.489999999999998</v>
      </c>
      <c r="D188" s="185">
        <v>1.49</v>
      </c>
      <c r="E188" s="195" t="s">
        <v>11</v>
      </c>
      <c r="F188" s="21"/>
      <c r="G188" s="22"/>
      <c r="H188" s="10"/>
      <c r="I188" s="10"/>
      <c r="J188" s="46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x14ac:dyDescent="0.2">
      <c r="A189" s="10">
        <v>20224</v>
      </c>
      <c r="B189" s="11">
        <v>42545</v>
      </c>
      <c r="C189" s="185">
        <v>54.07</v>
      </c>
      <c r="D189" s="185">
        <v>4.12</v>
      </c>
      <c r="E189" s="195" t="s">
        <v>7</v>
      </c>
      <c r="I189" s="10"/>
      <c r="J189" s="46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x14ac:dyDescent="0.2">
      <c r="A190" s="10">
        <v>20225</v>
      </c>
      <c r="B190" s="11">
        <v>42545</v>
      </c>
      <c r="C190" s="185">
        <v>75.72</v>
      </c>
      <c r="D190" s="185">
        <v>5.77</v>
      </c>
      <c r="E190" s="194"/>
      <c r="F190" s="18"/>
      <c r="G190" s="19"/>
      <c r="H190" s="12"/>
      <c r="I190" s="10"/>
      <c r="J190" s="46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x14ac:dyDescent="0.2">
      <c r="A191" s="10">
        <v>20226</v>
      </c>
      <c r="B191" s="11">
        <v>42545</v>
      </c>
      <c r="C191" s="185">
        <v>14.02</v>
      </c>
      <c r="D191" s="185">
        <v>1.07</v>
      </c>
      <c r="E191" s="194"/>
      <c r="I191" s="10"/>
      <c r="J191" s="46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x14ac:dyDescent="0.2">
      <c r="A192" s="10">
        <v>20227</v>
      </c>
      <c r="B192" s="11">
        <v>42545</v>
      </c>
      <c r="C192" s="185">
        <v>200.8</v>
      </c>
      <c r="D192" s="185">
        <v>15.3</v>
      </c>
      <c r="E192" s="195"/>
      <c r="I192" s="10"/>
      <c r="J192" s="46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x14ac:dyDescent="0.2">
      <c r="A193" s="10">
        <v>20228</v>
      </c>
      <c r="B193" s="11">
        <v>42545</v>
      </c>
      <c r="C193" s="185">
        <v>190</v>
      </c>
      <c r="D193" s="185">
        <v>14.48</v>
      </c>
      <c r="E193" s="195" t="s">
        <v>7</v>
      </c>
      <c r="F193" s="21"/>
      <c r="G193" s="22"/>
      <c r="H193" s="10"/>
      <c r="I193" s="10"/>
      <c r="J193" s="46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x14ac:dyDescent="0.2">
      <c r="A194" s="10">
        <v>20229</v>
      </c>
      <c r="B194" s="11">
        <v>42545</v>
      </c>
      <c r="C194" s="185">
        <v>196.47</v>
      </c>
      <c r="D194" s="185">
        <v>14.97</v>
      </c>
      <c r="E194" s="194"/>
      <c r="I194" s="10"/>
      <c r="J194" s="46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x14ac:dyDescent="0.2">
      <c r="A195" s="10">
        <v>20230</v>
      </c>
      <c r="B195" s="11">
        <v>42545</v>
      </c>
      <c r="C195" s="185">
        <v>154.69999999999999</v>
      </c>
      <c r="D195" s="185">
        <v>13.7</v>
      </c>
      <c r="E195" s="195" t="s">
        <v>7</v>
      </c>
      <c r="I195" s="10"/>
      <c r="J195" s="46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x14ac:dyDescent="0.2">
      <c r="A196" s="10">
        <v>20231</v>
      </c>
      <c r="B196" s="11">
        <v>42545</v>
      </c>
      <c r="C196" s="185">
        <v>85</v>
      </c>
      <c r="D196" s="185">
        <v>6.48</v>
      </c>
      <c r="E196" s="194"/>
      <c r="F196" s="20">
        <f>+C187+C188+C189+55+260+C193+286.68+161.83</f>
        <v>1043.31</v>
      </c>
      <c r="G196" s="20">
        <f>863.4+157.38</f>
        <v>1020.78</v>
      </c>
      <c r="H196" s="114"/>
      <c r="I196" s="10"/>
      <c r="J196" s="46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x14ac:dyDescent="0.2">
      <c r="A197" s="10">
        <v>20232</v>
      </c>
      <c r="B197" s="11">
        <v>42546</v>
      </c>
      <c r="C197" s="185">
        <v>10</v>
      </c>
      <c r="D197" s="185"/>
      <c r="E197" s="195" t="s">
        <v>11</v>
      </c>
      <c r="F197" s="21"/>
      <c r="G197" s="22"/>
      <c r="H197" s="10"/>
      <c r="I197" s="10"/>
      <c r="J197" s="46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x14ac:dyDescent="0.2">
      <c r="A198" s="10">
        <v>20233</v>
      </c>
      <c r="B198" s="11">
        <v>42546</v>
      </c>
      <c r="C198" s="185">
        <v>36.81</v>
      </c>
      <c r="D198" s="185">
        <v>2.81</v>
      </c>
      <c r="E198" s="195" t="s">
        <v>533</v>
      </c>
      <c r="I198" s="10"/>
      <c r="J198" s="46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x14ac:dyDescent="0.2">
      <c r="A199" s="10">
        <v>20234</v>
      </c>
      <c r="B199" s="11">
        <v>42546</v>
      </c>
      <c r="C199" s="185">
        <v>66</v>
      </c>
      <c r="D199" s="185">
        <v>5.03</v>
      </c>
      <c r="E199" s="194"/>
      <c r="F199" s="18"/>
      <c r="G199" s="19"/>
      <c r="H199" s="12"/>
      <c r="I199" s="10"/>
      <c r="J199" s="46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x14ac:dyDescent="0.2">
      <c r="A200" s="10">
        <v>20235</v>
      </c>
      <c r="B200" s="11">
        <v>42546</v>
      </c>
      <c r="C200" s="185">
        <v>89.000000000000014</v>
      </c>
      <c r="D200" s="185">
        <v>6.78</v>
      </c>
      <c r="E200" s="194"/>
      <c r="F200" s="115"/>
      <c r="G200" s="115"/>
      <c r="I200" s="10"/>
      <c r="J200" s="46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x14ac:dyDescent="0.2">
      <c r="A201" s="10">
        <v>20236</v>
      </c>
      <c r="B201" s="11">
        <v>42546</v>
      </c>
      <c r="C201" s="185">
        <v>27.049999999999997</v>
      </c>
      <c r="D201" s="185">
        <v>2.06</v>
      </c>
      <c r="E201" s="195" t="s">
        <v>533</v>
      </c>
      <c r="F201" s="21"/>
      <c r="G201" s="22"/>
      <c r="H201" s="10"/>
      <c r="I201" s="10"/>
      <c r="J201" s="46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x14ac:dyDescent="0.2">
      <c r="A202" s="10">
        <v>20237</v>
      </c>
      <c r="B202" s="11">
        <v>42546</v>
      </c>
      <c r="C202" s="185">
        <v>319.33999999999997</v>
      </c>
      <c r="D202" s="185">
        <v>24.34</v>
      </c>
      <c r="E202" s="195" t="s">
        <v>7</v>
      </c>
      <c r="I202" s="10"/>
      <c r="J202" s="46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x14ac:dyDescent="0.2">
      <c r="A203" s="10">
        <v>20238</v>
      </c>
      <c r="B203" s="11">
        <v>42546</v>
      </c>
      <c r="C203" s="185">
        <v>10.83</v>
      </c>
      <c r="D203" s="185">
        <v>0.83</v>
      </c>
      <c r="E203" s="195" t="s">
        <v>11</v>
      </c>
      <c r="I203" s="10"/>
      <c r="J203" s="46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x14ac:dyDescent="0.2">
      <c r="A204" s="10">
        <v>20239</v>
      </c>
      <c r="B204" s="11">
        <v>42546</v>
      </c>
      <c r="C204" s="185">
        <v>22</v>
      </c>
      <c r="D204" s="185">
        <v>1.68</v>
      </c>
      <c r="E204" s="194"/>
      <c r="F204" s="18"/>
      <c r="G204" s="19"/>
      <c r="H204" s="12"/>
      <c r="I204" s="10"/>
      <c r="J204" s="46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x14ac:dyDescent="0.2">
      <c r="A205" s="10">
        <v>20240</v>
      </c>
      <c r="B205" s="11">
        <v>42546</v>
      </c>
      <c r="C205" s="185">
        <v>0</v>
      </c>
      <c r="D205" s="185"/>
      <c r="E205" s="195" t="s">
        <v>698</v>
      </c>
      <c r="I205" s="10"/>
      <c r="J205" s="46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x14ac:dyDescent="0.2">
      <c r="A206" s="10">
        <v>20241</v>
      </c>
      <c r="B206" s="11">
        <v>42546</v>
      </c>
      <c r="C206" s="185">
        <v>49.8</v>
      </c>
      <c r="D206" s="185">
        <v>3.8</v>
      </c>
      <c r="E206" s="195" t="s">
        <v>26</v>
      </c>
      <c r="I206" s="10"/>
      <c r="J206" s="46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x14ac:dyDescent="0.2">
      <c r="A207" s="10">
        <v>20242</v>
      </c>
      <c r="B207" s="11">
        <v>42546</v>
      </c>
      <c r="C207" s="185">
        <v>35.72</v>
      </c>
      <c r="D207" s="185">
        <v>2.72</v>
      </c>
      <c r="E207" s="195" t="s">
        <v>21</v>
      </c>
      <c r="F207" s="21"/>
      <c r="G207" s="22"/>
      <c r="H207" s="10"/>
      <c r="I207" s="10"/>
      <c r="J207" s="46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x14ac:dyDescent="0.2">
      <c r="A208" s="10">
        <v>20243</v>
      </c>
      <c r="B208" s="11">
        <v>42546</v>
      </c>
      <c r="C208" s="185">
        <v>18</v>
      </c>
      <c r="D208" s="185">
        <v>1.37</v>
      </c>
      <c r="E208" s="195" t="s">
        <v>21</v>
      </c>
      <c r="F208" s="24"/>
      <c r="G208" s="24"/>
      <c r="I208" s="10"/>
      <c r="J208" s="46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x14ac:dyDescent="0.2">
      <c r="A209" s="10">
        <v>20244</v>
      </c>
      <c r="B209" s="11">
        <v>42546</v>
      </c>
      <c r="C209" s="185">
        <v>19.489999999999998</v>
      </c>
      <c r="D209" s="185">
        <v>1.49</v>
      </c>
      <c r="E209" s="194"/>
      <c r="F209" s="20">
        <f>+C197+C202+C203+163.86</f>
        <v>504.03</v>
      </c>
      <c r="G209" s="20">
        <f>334.93+159.36</f>
        <v>494.29</v>
      </c>
      <c r="H209" s="114"/>
      <c r="I209" s="10"/>
      <c r="J209" s="46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x14ac:dyDescent="0.2">
      <c r="A210" s="10">
        <v>20245</v>
      </c>
      <c r="B210" s="11">
        <v>42548</v>
      </c>
      <c r="C210" s="185">
        <v>10</v>
      </c>
      <c r="D210" s="185"/>
      <c r="E210" s="195" t="s">
        <v>25</v>
      </c>
      <c r="F210" s="21"/>
      <c r="G210" s="22"/>
      <c r="H210" s="10"/>
      <c r="I210" s="10"/>
      <c r="J210" s="46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x14ac:dyDescent="0.2">
      <c r="A211" s="10">
        <v>20246</v>
      </c>
      <c r="B211" s="11">
        <v>42548</v>
      </c>
      <c r="C211" s="185">
        <v>60.62</v>
      </c>
      <c r="D211" s="185">
        <v>4.62</v>
      </c>
      <c r="E211" s="218"/>
      <c r="F211" s="18"/>
      <c r="G211" s="19"/>
      <c r="H211" s="12"/>
      <c r="I211" s="10"/>
      <c r="J211" s="46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x14ac:dyDescent="0.2">
      <c r="A212" s="10">
        <v>20247</v>
      </c>
      <c r="B212" s="11">
        <v>42548</v>
      </c>
      <c r="C212" s="185">
        <v>74</v>
      </c>
      <c r="D212" s="185"/>
      <c r="E212" s="195" t="s">
        <v>417</v>
      </c>
      <c r="H212" s="10"/>
      <c r="I212" s="10"/>
      <c r="J212" s="46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x14ac:dyDescent="0.2">
      <c r="A213" s="10">
        <v>20248</v>
      </c>
      <c r="B213" s="11">
        <v>42548</v>
      </c>
      <c r="C213" s="185">
        <v>216.45</v>
      </c>
      <c r="D213" s="185">
        <v>16.5</v>
      </c>
      <c r="E213" s="218" t="s">
        <v>699</v>
      </c>
      <c r="H213" s="12"/>
      <c r="I213" s="10"/>
      <c r="J213" s="46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x14ac:dyDescent="0.2">
      <c r="A214" s="10">
        <v>20249</v>
      </c>
      <c r="B214" s="11">
        <v>42548</v>
      </c>
      <c r="C214" s="185">
        <v>12.5</v>
      </c>
      <c r="D214" s="185">
        <v>0.95</v>
      </c>
      <c r="E214" s="194"/>
      <c r="F214" s="18"/>
      <c r="G214" s="19"/>
      <c r="H214" s="12"/>
      <c r="I214" s="10"/>
      <c r="J214" s="46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x14ac:dyDescent="0.2">
      <c r="A215" s="10">
        <v>20250</v>
      </c>
      <c r="B215" s="11">
        <v>42548</v>
      </c>
      <c r="C215" s="185">
        <v>102.84</v>
      </c>
      <c r="D215" s="185">
        <v>7.84</v>
      </c>
      <c r="E215" s="195" t="s">
        <v>7</v>
      </c>
      <c r="H215" s="10"/>
      <c r="I215" s="10"/>
      <c r="J215" s="46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x14ac:dyDescent="0.2">
      <c r="A216" s="10">
        <v>20251</v>
      </c>
      <c r="B216" s="11">
        <v>42548</v>
      </c>
      <c r="C216" s="185">
        <v>54.13</v>
      </c>
      <c r="D216" s="185">
        <v>4.13</v>
      </c>
      <c r="E216" s="195" t="s">
        <v>700</v>
      </c>
      <c r="H216" s="10"/>
      <c r="I216" s="10"/>
      <c r="J216" s="46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x14ac:dyDescent="0.2">
      <c r="A217" s="10">
        <v>20252</v>
      </c>
      <c r="B217" s="11">
        <v>42548</v>
      </c>
      <c r="C217" s="185">
        <v>-79.240000000000009</v>
      </c>
      <c r="D217" s="185">
        <v>-6.04</v>
      </c>
      <c r="E217" s="194"/>
      <c r="F217" s="18"/>
      <c r="G217" s="19"/>
      <c r="H217" s="12"/>
      <c r="I217" s="10"/>
      <c r="J217" s="46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x14ac:dyDescent="0.2">
      <c r="A218" s="10">
        <v>20253</v>
      </c>
      <c r="B218" s="11">
        <v>42548</v>
      </c>
      <c r="C218" s="185">
        <v>42.160000000000004</v>
      </c>
      <c r="D218" s="185">
        <v>3.21</v>
      </c>
      <c r="E218" s="195" t="s">
        <v>11</v>
      </c>
      <c r="F218" s="21"/>
      <c r="G218" s="22"/>
      <c r="H218" s="10"/>
      <c r="I218" s="10"/>
      <c r="J218" s="46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x14ac:dyDescent="0.2">
      <c r="A219" s="10">
        <v>20254</v>
      </c>
      <c r="B219" s="11">
        <v>42548</v>
      </c>
      <c r="C219" s="185">
        <v>37.89</v>
      </c>
      <c r="D219" s="185">
        <v>2.89</v>
      </c>
      <c r="E219" s="194"/>
      <c r="F219" s="20">
        <f>+C212+C215+C218</f>
        <v>219</v>
      </c>
      <c r="G219" s="20">
        <v>215.78</v>
      </c>
      <c r="H219" s="12"/>
      <c r="I219" s="10"/>
      <c r="J219" s="46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x14ac:dyDescent="0.2">
      <c r="A220" s="10">
        <v>20255</v>
      </c>
      <c r="B220" s="11">
        <v>42549</v>
      </c>
      <c r="C220" s="185">
        <v>162.91999999999999</v>
      </c>
      <c r="D220" s="185">
        <v>12.42</v>
      </c>
      <c r="E220" s="195" t="s">
        <v>701</v>
      </c>
      <c r="H220" s="10"/>
      <c r="I220" s="10"/>
      <c r="J220" s="46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x14ac:dyDescent="0.2">
      <c r="A221" s="10">
        <v>20256</v>
      </c>
      <c r="B221" s="11">
        <v>42549</v>
      </c>
      <c r="C221" s="185">
        <v>164</v>
      </c>
      <c r="D221" s="185">
        <v>12.5</v>
      </c>
      <c r="E221" s="194"/>
      <c r="F221" s="18"/>
      <c r="G221" s="19"/>
      <c r="H221" s="12"/>
      <c r="I221" s="10"/>
      <c r="J221" s="46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x14ac:dyDescent="0.2">
      <c r="A222" s="10">
        <v>20257</v>
      </c>
      <c r="B222" s="11">
        <v>42549</v>
      </c>
      <c r="C222" s="185">
        <v>27.06</v>
      </c>
      <c r="D222" s="185">
        <v>2.06</v>
      </c>
      <c r="E222" s="194"/>
      <c r="F222" s="18"/>
      <c r="G222" s="19"/>
      <c r="H222" s="12"/>
      <c r="I222" s="10"/>
      <c r="J222" s="46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x14ac:dyDescent="0.2">
      <c r="A223" s="10">
        <v>20258</v>
      </c>
      <c r="B223" s="11">
        <v>42549</v>
      </c>
      <c r="C223" s="185">
        <v>105.44</v>
      </c>
      <c r="D223" s="185">
        <v>8.0399999999999991</v>
      </c>
      <c r="E223" s="195" t="s">
        <v>11</v>
      </c>
      <c r="H223" s="10"/>
      <c r="I223" s="10"/>
      <c r="J223" s="46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x14ac:dyDescent="0.2">
      <c r="A224" s="10">
        <v>20259</v>
      </c>
      <c r="B224" s="11">
        <v>42549</v>
      </c>
      <c r="C224" s="185">
        <v>127.74</v>
      </c>
      <c r="D224" s="185">
        <v>9.74</v>
      </c>
      <c r="E224" s="195" t="s">
        <v>11</v>
      </c>
      <c r="F224" s="21"/>
      <c r="G224" s="22"/>
      <c r="H224" s="10"/>
      <c r="I224" s="10"/>
      <c r="J224" s="46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x14ac:dyDescent="0.2">
      <c r="A225" s="10">
        <v>20260</v>
      </c>
      <c r="B225" s="11">
        <v>42549</v>
      </c>
      <c r="C225" s="185">
        <v>10</v>
      </c>
      <c r="D225" s="185">
        <v>0.76</v>
      </c>
      <c r="E225" s="194"/>
      <c r="H225" s="12"/>
      <c r="I225" s="10"/>
      <c r="J225" s="46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x14ac:dyDescent="0.2">
      <c r="A226" s="10">
        <v>20261</v>
      </c>
      <c r="B226" s="11">
        <v>42549</v>
      </c>
      <c r="C226" s="185">
        <v>26</v>
      </c>
      <c r="D226" s="185">
        <v>1.98</v>
      </c>
      <c r="E226" s="194"/>
      <c r="H226" s="12"/>
      <c r="I226" s="10"/>
      <c r="J226" s="46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x14ac:dyDescent="0.2">
      <c r="A227" s="10">
        <v>20262</v>
      </c>
      <c r="B227" s="11">
        <v>42549</v>
      </c>
      <c r="C227" s="185">
        <v>23.759999999999998</v>
      </c>
      <c r="D227" s="185">
        <v>1.81</v>
      </c>
      <c r="E227" s="194"/>
      <c r="F227" s="18"/>
      <c r="G227" s="19"/>
      <c r="H227" s="12"/>
      <c r="I227" s="10"/>
      <c r="J227" s="46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x14ac:dyDescent="0.2">
      <c r="A228" s="10">
        <v>20263</v>
      </c>
      <c r="B228" s="11">
        <v>42549</v>
      </c>
      <c r="C228" s="185">
        <v>44</v>
      </c>
      <c r="D228" s="185">
        <v>3.35</v>
      </c>
      <c r="E228" s="194"/>
      <c r="F228" s="20">
        <f>+C223+C224+75+69.08</f>
        <v>377.26</v>
      </c>
      <c r="G228" s="20">
        <v>372.45</v>
      </c>
      <c r="H228" s="12"/>
      <c r="I228" s="10"/>
      <c r="J228" s="46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x14ac:dyDescent="0.2">
      <c r="A229" s="10">
        <v>20264</v>
      </c>
      <c r="B229" s="11">
        <v>42550</v>
      </c>
      <c r="C229" s="185">
        <v>81.19</v>
      </c>
      <c r="D229" s="185">
        <v>6.19</v>
      </c>
      <c r="E229" s="195" t="s">
        <v>11</v>
      </c>
      <c r="F229" s="21"/>
      <c r="G229" s="22"/>
      <c r="H229" s="10"/>
      <c r="I229" s="10"/>
      <c r="J229" s="46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x14ac:dyDescent="0.2">
      <c r="A230" s="10">
        <v>20265</v>
      </c>
      <c r="B230" s="11">
        <v>42550</v>
      </c>
      <c r="C230" s="185">
        <v>24.9</v>
      </c>
      <c r="D230" s="185">
        <v>1.9</v>
      </c>
      <c r="E230" s="195" t="s">
        <v>11</v>
      </c>
      <c r="F230" s="21"/>
      <c r="G230" s="22"/>
      <c r="H230" s="10"/>
      <c r="I230" s="10"/>
      <c r="J230" s="46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x14ac:dyDescent="0.2">
      <c r="A231" s="10">
        <v>20266</v>
      </c>
      <c r="B231" s="11">
        <v>42550</v>
      </c>
      <c r="C231" s="185">
        <v>324.20999999999998</v>
      </c>
      <c r="D231" s="185">
        <v>24.71</v>
      </c>
      <c r="E231" s="218" t="s">
        <v>702</v>
      </c>
      <c r="H231" s="12"/>
      <c r="I231" s="10"/>
      <c r="J231" s="46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x14ac:dyDescent="0.2">
      <c r="A232" s="10">
        <v>20267</v>
      </c>
      <c r="B232" s="11">
        <v>42550</v>
      </c>
      <c r="C232" s="185">
        <v>96.34</v>
      </c>
      <c r="D232" s="185">
        <v>7.34</v>
      </c>
      <c r="E232" s="195" t="s">
        <v>11</v>
      </c>
      <c r="H232" s="10"/>
      <c r="I232" s="10"/>
      <c r="J232" s="46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x14ac:dyDescent="0.2">
      <c r="A233" s="10">
        <v>20268</v>
      </c>
      <c r="B233" s="11">
        <v>42550</v>
      </c>
      <c r="C233" s="185">
        <v>54.02</v>
      </c>
      <c r="D233" s="185">
        <v>1.07</v>
      </c>
      <c r="E233" s="194"/>
      <c r="F233" s="18"/>
      <c r="G233" s="19"/>
      <c r="H233" s="12"/>
      <c r="I233" s="10"/>
      <c r="J233" s="46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x14ac:dyDescent="0.2">
      <c r="A234" s="10">
        <v>20269</v>
      </c>
      <c r="B234" s="11">
        <v>42550</v>
      </c>
      <c r="C234" s="185">
        <v>36</v>
      </c>
      <c r="D234" s="185"/>
      <c r="E234" s="218" t="s">
        <v>19</v>
      </c>
      <c r="H234" s="12"/>
      <c r="I234" s="10"/>
      <c r="J234" s="46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x14ac:dyDescent="0.2">
      <c r="A235" s="10">
        <v>20270</v>
      </c>
      <c r="B235" s="11">
        <v>42550</v>
      </c>
      <c r="C235" s="185">
        <v>184</v>
      </c>
      <c r="D235" s="185"/>
      <c r="E235" s="195" t="s">
        <v>703</v>
      </c>
      <c r="F235" s="21"/>
      <c r="G235" s="22"/>
      <c r="H235" s="10"/>
      <c r="I235" s="10"/>
      <c r="J235" s="46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x14ac:dyDescent="0.2">
      <c r="A236" s="10">
        <v>20271</v>
      </c>
      <c r="B236" s="11">
        <v>42550</v>
      </c>
      <c r="C236" s="185">
        <v>276.04000000000002</v>
      </c>
      <c r="D236" s="185">
        <v>21.04</v>
      </c>
      <c r="E236" s="195" t="s">
        <v>533</v>
      </c>
      <c r="H236" s="10"/>
      <c r="I236" s="10"/>
      <c r="J236" s="46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x14ac:dyDescent="0.2">
      <c r="A237" s="10">
        <v>20272</v>
      </c>
      <c r="B237" s="11">
        <v>42550</v>
      </c>
      <c r="C237" s="185">
        <v>21.65</v>
      </c>
      <c r="D237" s="185">
        <v>1.65</v>
      </c>
      <c r="E237" s="194"/>
      <c r="F237" s="18"/>
      <c r="G237" s="19"/>
      <c r="H237" s="12"/>
      <c r="I237" s="10"/>
      <c r="J237" s="46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x14ac:dyDescent="0.2">
      <c r="A238" s="10">
        <v>20273</v>
      </c>
      <c r="B238" s="11">
        <v>42550</v>
      </c>
      <c r="C238" s="185">
        <v>0</v>
      </c>
      <c r="D238" s="185"/>
      <c r="E238" s="218" t="s">
        <v>704</v>
      </c>
      <c r="F238" s="18"/>
      <c r="G238" s="19"/>
      <c r="H238" s="12"/>
      <c r="I238" s="10"/>
      <c r="J238" s="46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x14ac:dyDescent="0.2">
      <c r="A239" s="10">
        <v>20274</v>
      </c>
      <c r="B239" s="11">
        <v>42550</v>
      </c>
      <c r="C239" s="185">
        <v>0</v>
      </c>
      <c r="D239" s="185"/>
      <c r="E239" s="218" t="s">
        <v>704</v>
      </c>
      <c r="H239" s="12"/>
      <c r="I239" s="10"/>
      <c r="J239" s="46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x14ac:dyDescent="0.2">
      <c r="A240" s="10">
        <v>20275</v>
      </c>
      <c r="B240" s="11">
        <v>42550</v>
      </c>
      <c r="C240" s="185">
        <v>44.38</v>
      </c>
      <c r="D240" s="185">
        <v>3.38</v>
      </c>
      <c r="E240" s="194"/>
      <c r="F240" s="20">
        <f>+C229+C230+C232+600.16+C195</f>
        <v>957.29</v>
      </c>
      <c r="G240" s="20">
        <v>941.58</v>
      </c>
      <c r="H240" s="12"/>
      <c r="I240" s="10"/>
      <c r="J240" s="46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x14ac:dyDescent="0.2">
      <c r="A241" s="10">
        <v>20276</v>
      </c>
      <c r="B241" s="11">
        <v>42551</v>
      </c>
      <c r="C241" s="185">
        <v>17.32</v>
      </c>
      <c r="D241" s="185">
        <v>1.32</v>
      </c>
      <c r="E241" s="194"/>
      <c r="F241" s="18"/>
      <c r="G241" s="19"/>
      <c r="H241" s="12"/>
      <c r="I241" s="10"/>
      <c r="J241" s="46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x14ac:dyDescent="0.2">
      <c r="A242" s="10">
        <v>20277</v>
      </c>
      <c r="B242" s="11">
        <v>42551</v>
      </c>
      <c r="C242" s="185">
        <v>22</v>
      </c>
      <c r="D242" s="185">
        <v>1.68</v>
      </c>
      <c r="E242" s="194"/>
      <c r="I242" s="10"/>
      <c r="J242" s="46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x14ac:dyDescent="0.2">
      <c r="A243" s="10">
        <v>20278</v>
      </c>
      <c r="B243" s="11">
        <v>42551</v>
      </c>
      <c r="C243" s="185">
        <v>92</v>
      </c>
      <c r="D243" s="185">
        <v>7.02</v>
      </c>
      <c r="E243" s="194"/>
      <c r="I243" s="10"/>
      <c r="J243" s="46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x14ac:dyDescent="0.2">
      <c r="A244" s="10">
        <v>20279</v>
      </c>
      <c r="B244" s="11">
        <v>42551</v>
      </c>
      <c r="C244" s="185">
        <v>22.73</v>
      </c>
      <c r="D244" s="185">
        <v>1.73</v>
      </c>
      <c r="E244" s="195" t="s">
        <v>11</v>
      </c>
      <c r="I244" s="10"/>
      <c r="J244" s="46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x14ac:dyDescent="0.2">
      <c r="A245" s="10">
        <v>20280</v>
      </c>
      <c r="B245" s="11">
        <v>42551</v>
      </c>
      <c r="C245" s="185">
        <v>35</v>
      </c>
      <c r="D245" s="185">
        <v>2.67</v>
      </c>
      <c r="E245" s="194"/>
      <c r="F245" s="18"/>
      <c r="G245" s="19"/>
      <c r="H245" s="12"/>
      <c r="I245" s="10"/>
      <c r="J245" s="46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x14ac:dyDescent="0.2">
      <c r="A246" s="10">
        <v>20281</v>
      </c>
      <c r="B246" s="11">
        <v>42551</v>
      </c>
      <c r="C246" s="185">
        <v>5.41</v>
      </c>
      <c r="D246" s="185">
        <v>0.41</v>
      </c>
      <c r="E246" s="194"/>
      <c r="F246" s="18"/>
      <c r="G246" s="19"/>
      <c r="H246" s="12"/>
      <c r="I246" s="10"/>
      <c r="J246" s="46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x14ac:dyDescent="0.2">
      <c r="A247" s="10">
        <v>20282</v>
      </c>
      <c r="B247" s="11">
        <v>42551</v>
      </c>
      <c r="C247" s="185">
        <v>69.28</v>
      </c>
      <c r="D247" s="185">
        <v>5.28</v>
      </c>
      <c r="E247" s="195" t="s">
        <v>11</v>
      </c>
      <c r="F247" s="21"/>
      <c r="G247" s="22"/>
      <c r="H247" s="10"/>
      <c r="I247" s="10"/>
      <c r="J247" s="46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x14ac:dyDescent="0.2">
      <c r="A248" s="10">
        <v>20283</v>
      </c>
      <c r="B248" s="11">
        <v>42551</v>
      </c>
      <c r="C248" s="185">
        <v>44.910000000000004</v>
      </c>
      <c r="D248" s="185">
        <v>3.42</v>
      </c>
      <c r="E248" s="195" t="s">
        <v>11</v>
      </c>
      <c r="F248" s="115"/>
      <c r="G248" s="115"/>
      <c r="I248" s="10"/>
      <c r="J248" s="46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x14ac:dyDescent="0.2">
      <c r="A249" s="10">
        <v>20284</v>
      </c>
      <c r="B249" s="11">
        <v>42551</v>
      </c>
      <c r="C249" s="185">
        <v>16.239999999999998</v>
      </c>
      <c r="D249" s="185">
        <v>1.24</v>
      </c>
      <c r="E249" s="195" t="s">
        <v>7</v>
      </c>
      <c r="F249" s="21"/>
      <c r="G249" s="22"/>
      <c r="H249" s="10"/>
      <c r="I249" s="10"/>
      <c r="J249" s="46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x14ac:dyDescent="0.2">
      <c r="A250" s="10">
        <v>20285</v>
      </c>
      <c r="B250" s="11">
        <v>42551</v>
      </c>
      <c r="C250" s="185">
        <v>-23.759999999999998</v>
      </c>
      <c r="D250" s="185">
        <v>-1.81</v>
      </c>
      <c r="E250" s="194"/>
      <c r="F250" s="46"/>
      <c r="I250" s="10"/>
      <c r="J250" s="46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x14ac:dyDescent="0.2">
      <c r="A251" s="10">
        <v>20286</v>
      </c>
      <c r="B251" s="11">
        <v>42551</v>
      </c>
      <c r="C251" s="185">
        <v>14.02</v>
      </c>
      <c r="D251" s="185">
        <v>1.07</v>
      </c>
      <c r="E251" s="194"/>
      <c r="I251" s="10"/>
      <c r="J251" s="46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x14ac:dyDescent="0.2">
      <c r="A252" s="4">
        <v>20287</v>
      </c>
      <c r="B252" s="11">
        <v>42551</v>
      </c>
      <c r="C252" s="25">
        <v>740</v>
      </c>
      <c r="D252" s="4">
        <v>56.4</v>
      </c>
      <c r="E252" s="26" t="s">
        <v>21</v>
      </c>
      <c r="F252" s="20">
        <f>+C244+C247+C248+C249+176.04</f>
        <v>329.20000000000005</v>
      </c>
      <c r="G252" s="20">
        <f>150.63+171.2</f>
        <v>321.83</v>
      </c>
      <c r="H252" s="161"/>
      <c r="I252" s="229"/>
      <c r="J252" s="211"/>
      <c r="K252" s="211"/>
      <c r="L252" s="211"/>
      <c r="M252" s="184"/>
    </row>
    <row r="253" spans="1:23" x14ac:dyDescent="0.2">
      <c r="E253" s="26"/>
      <c r="G253" s="77"/>
      <c r="H253" s="188"/>
      <c r="I253" s="197">
        <f ca="1">H1-WEEKDAY(H1,3)-7</f>
        <v>43171</v>
      </c>
      <c r="J253" s="198" t="e">
        <f t="shared" ref="J253:J266" ca="1" si="0">SUMIF(INDIRECT(TEXT(I253,"'mmm-yy'")&amp;"!B3:B400"),I253,INDIRECT(TEXT(I253,"'mmm-yy'")&amp;"!C3:C400"))</f>
        <v>#REF!</v>
      </c>
      <c r="K253" s="198"/>
      <c r="L253" s="184"/>
      <c r="M253" s="184"/>
    </row>
    <row r="254" spans="1:23" x14ac:dyDescent="0.2">
      <c r="E254" s="26"/>
      <c r="G254" s="77"/>
      <c r="H254" s="191"/>
      <c r="I254" s="197">
        <f t="shared" ref="I254:I266" ca="1" si="1">I253+1</f>
        <v>43172</v>
      </c>
      <c r="J254" s="198" t="e">
        <f t="shared" ca="1" si="0"/>
        <v>#REF!</v>
      </c>
      <c r="K254" s="198"/>
      <c r="L254" s="184"/>
      <c r="M254" s="184"/>
    </row>
    <row r="255" spans="1:23" x14ac:dyDescent="0.2">
      <c r="E255" s="26"/>
      <c r="G255" s="77"/>
      <c r="H255" s="191"/>
      <c r="I255" s="197">
        <f t="shared" ca="1" si="1"/>
        <v>43173</v>
      </c>
      <c r="J255" s="198" t="e">
        <f t="shared" ca="1" si="0"/>
        <v>#REF!</v>
      </c>
      <c r="K255" s="198"/>
      <c r="L255" s="184"/>
      <c r="M255" s="184"/>
    </row>
    <row r="256" spans="1:23" x14ac:dyDescent="0.2">
      <c r="E256" s="26"/>
      <c r="G256" s="77"/>
      <c r="H256" s="188"/>
      <c r="I256" s="197">
        <f t="shared" ca="1" si="1"/>
        <v>43174</v>
      </c>
      <c r="J256" s="198" t="e">
        <f t="shared" ca="1" si="0"/>
        <v>#REF!</v>
      </c>
      <c r="K256" s="198"/>
      <c r="L256" s="184"/>
      <c r="M256" s="184"/>
    </row>
    <row r="257" spans="5:13" x14ac:dyDescent="0.2">
      <c r="E257" s="26"/>
      <c r="G257" s="77"/>
      <c r="H257" s="188"/>
      <c r="I257" s="197">
        <f t="shared" ca="1" si="1"/>
        <v>43175</v>
      </c>
      <c r="J257" s="198" t="e">
        <f t="shared" ca="1" si="0"/>
        <v>#REF!</v>
      </c>
      <c r="K257" s="198"/>
      <c r="L257" s="184"/>
      <c r="M257" s="184"/>
    </row>
    <row r="258" spans="5:13" x14ac:dyDescent="0.2">
      <c r="E258" s="26"/>
      <c r="G258" s="77"/>
      <c r="H258" s="191"/>
      <c r="I258" s="197">
        <f t="shared" ca="1" si="1"/>
        <v>43176</v>
      </c>
      <c r="J258" s="198" t="e">
        <f t="shared" ca="1" si="0"/>
        <v>#REF!</v>
      </c>
      <c r="K258" s="198"/>
      <c r="L258" s="184"/>
      <c r="M258" s="184"/>
    </row>
    <row r="259" spans="5:13" x14ac:dyDescent="0.2">
      <c r="E259" s="26"/>
      <c r="G259" s="77"/>
      <c r="H259" s="191"/>
      <c r="I259" s="197">
        <f t="shared" ca="1" si="1"/>
        <v>43177</v>
      </c>
      <c r="J259" s="198" t="e">
        <f t="shared" ca="1" si="0"/>
        <v>#REF!</v>
      </c>
      <c r="K259" s="198" t="e">
        <f ca="1">SUM(J253:J259)</f>
        <v>#REF!</v>
      </c>
      <c r="L259" s="184"/>
      <c r="M259" s="184"/>
    </row>
    <row r="260" spans="5:13" x14ac:dyDescent="0.2">
      <c r="E260" s="26"/>
      <c r="G260" s="77"/>
      <c r="H260" s="188"/>
      <c r="I260" s="197">
        <f t="shared" ca="1" si="1"/>
        <v>43178</v>
      </c>
      <c r="J260" s="198" t="e">
        <f t="shared" ca="1" si="0"/>
        <v>#REF!</v>
      </c>
      <c r="K260" s="198"/>
      <c r="L260" s="184"/>
      <c r="M260" s="184"/>
    </row>
    <row r="261" spans="5:13" x14ac:dyDescent="0.2">
      <c r="E261" s="26"/>
      <c r="G261" s="77"/>
      <c r="H261" s="191"/>
      <c r="I261" s="197">
        <f t="shared" ca="1" si="1"/>
        <v>43179</v>
      </c>
      <c r="J261" s="198" t="e">
        <f t="shared" ca="1" si="0"/>
        <v>#REF!</v>
      </c>
      <c r="K261" s="198"/>
      <c r="L261" s="184"/>
      <c r="M261" s="184"/>
    </row>
    <row r="262" spans="5:13" x14ac:dyDescent="0.2">
      <c r="E262" s="26"/>
      <c r="G262" s="77"/>
      <c r="H262" s="191"/>
      <c r="I262" s="197">
        <f t="shared" ca="1" si="1"/>
        <v>43180</v>
      </c>
      <c r="J262" s="198" t="e">
        <f t="shared" ca="1" si="0"/>
        <v>#REF!</v>
      </c>
      <c r="K262" s="198"/>
      <c r="L262" s="184"/>
      <c r="M262" s="184"/>
    </row>
    <row r="263" spans="5:13" x14ac:dyDescent="0.2">
      <c r="E263" s="26"/>
      <c r="G263" s="77"/>
      <c r="H263" s="191"/>
      <c r="I263" s="197">
        <f t="shared" ca="1" si="1"/>
        <v>43181</v>
      </c>
      <c r="J263" s="198" t="e">
        <f t="shared" ca="1" si="0"/>
        <v>#REF!</v>
      </c>
      <c r="K263" s="198"/>
      <c r="L263" s="184"/>
      <c r="M263" s="184"/>
    </row>
    <row r="264" spans="5:13" x14ac:dyDescent="0.2">
      <c r="E264" s="26"/>
      <c r="G264" s="77"/>
      <c r="H264" s="191"/>
      <c r="I264" s="197">
        <f t="shared" ca="1" si="1"/>
        <v>43182</v>
      </c>
      <c r="J264" s="198" t="e">
        <f t="shared" ca="1" si="0"/>
        <v>#REF!</v>
      </c>
      <c r="K264" s="198"/>
      <c r="L264" s="184"/>
      <c r="M264" s="184"/>
    </row>
    <row r="265" spans="5:13" x14ac:dyDescent="0.2">
      <c r="E265" s="26"/>
      <c r="G265" s="77"/>
      <c r="H265" s="191"/>
      <c r="I265" s="197">
        <f t="shared" ca="1" si="1"/>
        <v>43183</v>
      </c>
      <c r="J265" s="198" t="e">
        <f t="shared" ca="1" si="0"/>
        <v>#REF!</v>
      </c>
      <c r="K265" s="198"/>
      <c r="L265" s="184"/>
      <c r="M265" s="184"/>
    </row>
    <row r="266" spans="5:13" x14ac:dyDescent="0.2">
      <c r="E266" s="26"/>
      <c r="G266" s="77"/>
      <c r="H266" s="191"/>
      <c r="I266" s="197">
        <f t="shared" ca="1" si="1"/>
        <v>43184</v>
      </c>
      <c r="J266" s="198" t="e">
        <f t="shared" ca="1" si="0"/>
        <v>#REF!</v>
      </c>
      <c r="K266" s="198" t="e">
        <f ca="1">SUM(J260:J266)</f>
        <v>#REF!</v>
      </c>
      <c r="L266" s="184"/>
      <c r="M266" s="184"/>
    </row>
    <row r="267" spans="5:13" x14ac:dyDescent="0.2">
      <c r="E267" s="26"/>
      <c r="G267" s="77"/>
      <c r="H267" s="199"/>
      <c r="I267" s="184"/>
      <c r="J267" s="198"/>
      <c r="K267" s="184"/>
      <c r="L267" s="184"/>
      <c r="M267" s="184"/>
    </row>
    <row r="268" spans="5:13" x14ac:dyDescent="0.2">
      <c r="E268" s="26"/>
      <c r="G268" s="77"/>
      <c r="H268" s="199"/>
      <c r="I268" s="184"/>
      <c r="J268" s="184"/>
      <c r="K268" s="184"/>
      <c r="L268" s="184"/>
      <c r="M268" s="184"/>
    </row>
    <row r="269" spans="5:13" x14ac:dyDescent="0.2">
      <c r="E269" s="26"/>
      <c r="G269" s="77"/>
      <c r="H269" s="199"/>
      <c r="I269" s="184"/>
      <c r="J269" s="184"/>
      <c r="K269" s="184"/>
      <c r="L269" s="184"/>
      <c r="M269" s="184"/>
    </row>
    <row r="270" spans="5:13" x14ac:dyDescent="0.2">
      <c r="E270" s="26"/>
      <c r="G270" s="77"/>
      <c r="H270" s="199"/>
      <c r="I270" s="184"/>
      <c r="J270" s="184"/>
      <c r="K270" s="184"/>
      <c r="L270" s="184"/>
      <c r="M270" s="184"/>
    </row>
    <row r="271" spans="5:13" x14ac:dyDescent="0.2">
      <c r="E271" s="26"/>
      <c r="H271" s="199"/>
      <c r="I271" s="184"/>
      <c r="J271" s="184"/>
      <c r="K271" s="184"/>
      <c r="L271" s="184"/>
      <c r="M271" s="184"/>
    </row>
    <row r="272" spans="5:13" x14ac:dyDescent="0.2">
      <c r="E272" s="26"/>
      <c r="H272" s="85"/>
      <c r="I272" s="77"/>
      <c r="J272" s="77"/>
      <c r="K272" s="77"/>
      <c r="L272" s="77"/>
      <c r="M272" s="184"/>
    </row>
    <row r="273" spans="1:23" x14ac:dyDescent="0.2">
      <c r="E273" s="26"/>
      <c r="H273" s="199"/>
      <c r="I273" s="184"/>
      <c r="J273" s="184"/>
      <c r="K273" s="184"/>
      <c r="L273" s="184"/>
      <c r="M273" s="184"/>
    </row>
    <row r="274" spans="1:23" x14ac:dyDescent="0.2">
      <c r="E274" s="26"/>
      <c r="H274" s="199"/>
      <c r="I274" s="184"/>
      <c r="J274" s="184"/>
      <c r="K274" s="184"/>
      <c r="L274" s="184"/>
      <c r="M274" s="184"/>
    </row>
    <row r="275" spans="1:23" x14ac:dyDescent="0.2">
      <c r="E275" s="26"/>
    </row>
    <row r="276" spans="1:23" x14ac:dyDescent="0.2">
      <c r="E276" s="26"/>
    </row>
    <row r="277" spans="1:23" x14ac:dyDescent="0.2">
      <c r="E277" s="26"/>
    </row>
    <row r="278" spans="1:23" x14ac:dyDescent="0.2">
      <c r="E278" s="26"/>
    </row>
    <row r="279" spans="1:23" x14ac:dyDescent="0.2">
      <c r="E279" s="26"/>
    </row>
    <row r="280" spans="1:23" x14ac:dyDescent="0.2">
      <c r="E280" s="26"/>
    </row>
    <row r="281" spans="1:23" x14ac:dyDescent="0.2">
      <c r="E281" s="26"/>
    </row>
    <row r="282" spans="1:23" x14ac:dyDescent="0.2">
      <c r="E282" s="26"/>
    </row>
    <row r="283" spans="1:23" x14ac:dyDescent="0.2">
      <c r="E283" s="26"/>
    </row>
    <row r="284" spans="1:23" x14ac:dyDescent="0.2">
      <c r="E284" s="26"/>
    </row>
    <row r="285" spans="1:23" x14ac:dyDescent="0.2">
      <c r="E285" s="26"/>
    </row>
    <row r="286" spans="1:23" x14ac:dyDescent="0.2">
      <c r="E286" s="26"/>
    </row>
    <row r="287" spans="1:23" x14ac:dyDescent="0.2">
      <c r="E287" s="26"/>
    </row>
    <row r="288" spans="1:23" s="29" customFormat="1" x14ac:dyDescent="0.2">
      <c r="A288" s="4"/>
      <c r="B288" s="11"/>
      <c r="C288" s="25"/>
      <c r="D288" s="4"/>
      <c r="E288" s="26"/>
      <c r="F288" s="4"/>
      <c r="G288" s="4"/>
      <c r="H288" s="25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s="29" customFormat="1" x14ac:dyDescent="0.2">
      <c r="A289" s="4"/>
      <c r="B289" s="11"/>
      <c r="C289" s="25"/>
      <c r="D289" s="4"/>
      <c r="E289" s="26"/>
      <c r="F289" s="4"/>
      <c r="G289" s="4"/>
      <c r="H289" s="25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2">
      <c r="E290" s="26"/>
    </row>
    <row r="291" spans="1:23" x14ac:dyDescent="0.2">
      <c r="A291" s="29"/>
      <c r="B291" s="30"/>
      <c r="C291" s="31"/>
      <c r="D291" s="29"/>
      <c r="E291" s="32"/>
      <c r="F291" s="29"/>
      <c r="G291" s="29"/>
      <c r="H291" s="31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</row>
    <row r="292" spans="1:23" x14ac:dyDescent="0.2">
      <c r="A292" s="29"/>
      <c r="B292" s="30"/>
      <c r="C292" s="31"/>
      <c r="D292" s="29"/>
      <c r="E292" s="32"/>
      <c r="F292" s="29"/>
      <c r="G292" s="29"/>
      <c r="H292" s="31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</row>
    <row r="293" spans="1:23" x14ac:dyDescent="0.2">
      <c r="E293" s="26"/>
    </row>
    <row r="294" spans="1:23" x14ac:dyDescent="0.2">
      <c r="E294" s="26"/>
    </row>
    <row r="295" spans="1:23" x14ac:dyDescent="0.2">
      <c r="E295" s="26"/>
    </row>
    <row r="296" spans="1:23" x14ac:dyDescent="0.2">
      <c r="E296" s="26"/>
    </row>
    <row r="297" spans="1:23" x14ac:dyDescent="0.2">
      <c r="E297" s="26"/>
    </row>
    <row r="298" spans="1:23" x14ac:dyDescent="0.2">
      <c r="E298" s="26"/>
    </row>
    <row r="299" spans="1:23" x14ac:dyDescent="0.2">
      <c r="E299" s="26"/>
    </row>
    <row r="300" spans="1:23" x14ac:dyDescent="0.2">
      <c r="E300" s="26"/>
    </row>
    <row r="301" spans="1:23" x14ac:dyDescent="0.2">
      <c r="E301" s="26"/>
    </row>
    <row r="302" spans="1:23" x14ac:dyDescent="0.2">
      <c r="E302" s="26"/>
    </row>
    <row r="303" spans="1:23" x14ac:dyDescent="0.2">
      <c r="E303" s="26"/>
    </row>
    <row r="304" spans="1:23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3275"/>
  <sheetViews>
    <sheetView topLeftCell="A210" workbookViewId="0">
      <selection activeCell="A258" sqref="A258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SUM(C3:C457)</f>
        <v>28071.041550000002</v>
      </c>
      <c r="D1" s="3">
        <f>SUM(D3:D457)</f>
        <v>1852.4415500000007</v>
      </c>
      <c r="F1" s="166">
        <f>SUM(F3:F2895)</f>
        <v>14139.439999999999</v>
      </c>
      <c r="G1" s="166">
        <f>SUM(G3:G2895)</f>
        <v>13886.025788599998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20288</v>
      </c>
      <c r="B3" s="11">
        <v>42552</v>
      </c>
      <c r="C3" s="12">
        <v>28.09</v>
      </c>
      <c r="D3" s="12">
        <v>2.14</v>
      </c>
      <c r="E3" s="15" t="s">
        <v>533</v>
      </c>
      <c r="F3" s="10"/>
      <c r="G3" s="10"/>
      <c r="H3" s="10"/>
      <c r="I3" s="10"/>
    </row>
    <row r="4" spans="1:10" x14ac:dyDescent="0.2">
      <c r="A4" s="10">
        <v>20289</v>
      </c>
      <c r="B4" s="11">
        <v>42552</v>
      </c>
      <c r="C4" s="12">
        <v>10.83</v>
      </c>
      <c r="D4" s="12">
        <v>0.83</v>
      </c>
      <c r="E4" s="15" t="s">
        <v>11</v>
      </c>
      <c r="H4" s="10"/>
      <c r="I4" s="10"/>
    </row>
    <row r="5" spans="1:10" x14ac:dyDescent="0.2">
      <c r="A5" s="10">
        <v>20290</v>
      </c>
      <c r="B5" s="11">
        <v>42552</v>
      </c>
      <c r="C5" s="12">
        <v>85.52</v>
      </c>
      <c r="D5" s="12">
        <v>6.52</v>
      </c>
      <c r="E5" s="17"/>
      <c r="H5" s="12"/>
      <c r="I5" s="10"/>
    </row>
    <row r="6" spans="1:10" x14ac:dyDescent="0.2">
      <c r="A6" s="10">
        <v>20291</v>
      </c>
      <c r="B6" s="11">
        <v>42552</v>
      </c>
      <c r="C6" s="12">
        <v>42.22</v>
      </c>
      <c r="D6" s="12">
        <v>3.22</v>
      </c>
      <c r="E6" s="17"/>
      <c r="F6" s="18"/>
      <c r="G6" s="19"/>
      <c r="H6" s="12"/>
      <c r="I6" s="10"/>
    </row>
    <row r="7" spans="1:10" x14ac:dyDescent="0.2">
      <c r="A7" s="10">
        <v>20292</v>
      </c>
      <c r="B7" s="11">
        <v>42552</v>
      </c>
      <c r="C7" s="12">
        <v>34.53</v>
      </c>
      <c r="D7" s="12">
        <v>2.63</v>
      </c>
      <c r="E7" s="15" t="s">
        <v>11</v>
      </c>
      <c r="F7" s="21"/>
      <c r="G7" s="22"/>
      <c r="H7" s="10"/>
      <c r="I7" s="10"/>
    </row>
    <row r="8" spans="1:10" x14ac:dyDescent="0.2">
      <c r="A8" s="10">
        <v>20293</v>
      </c>
      <c r="B8" s="11">
        <v>42552</v>
      </c>
      <c r="C8" s="12">
        <v>78.97</v>
      </c>
      <c r="D8" s="12">
        <v>6.02</v>
      </c>
      <c r="E8" s="15" t="s">
        <v>7</v>
      </c>
      <c r="H8" s="10"/>
      <c r="I8" s="10"/>
    </row>
    <row r="9" spans="1:10" x14ac:dyDescent="0.2">
      <c r="A9" s="10">
        <v>20294</v>
      </c>
      <c r="B9" s="11">
        <v>42552</v>
      </c>
      <c r="C9" s="12">
        <v>162</v>
      </c>
      <c r="D9" s="12">
        <v>12.34</v>
      </c>
      <c r="E9" s="15" t="s">
        <v>705</v>
      </c>
      <c r="H9" s="10"/>
      <c r="I9" s="10"/>
    </row>
    <row r="10" spans="1:10" x14ac:dyDescent="0.2">
      <c r="A10" s="10">
        <v>20295</v>
      </c>
      <c r="B10" s="11">
        <v>42552</v>
      </c>
      <c r="C10" s="12">
        <v>17.3</v>
      </c>
      <c r="D10" s="12">
        <v>1.32</v>
      </c>
      <c r="E10" s="17"/>
      <c r="H10" s="12"/>
      <c r="I10" s="10"/>
    </row>
    <row r="11" spans="1:10" x14ac:dyDescent="0.2">
      <c r="A11" s="10">
        <v>20296</v>
      </c>
      <c r="B11" s="11">
        <v>42552</v>
      </c>
      <c r="C11" s="12">
        <v>192</v>
      </c>
      <c r="D11" s="12">
        <v>14.63</v>
      </c>
      <c r="E11" s="15" t="s">
        <v>706</v>
      </c>
      <c r="H11" s="10"/>
      <c r="I11" s="10"/>
    </row>
    <row r="12" spans="1:10" x14ac:dyDescent="0.2">
      <c r="A12" s="10">
        <v>20297</v>
      </c>
      <c r="B12" s="11">
        <v>42552</v>
      </c>
      <c r="C12" s="12">
        <v>55</v>
      </c>
      <c r="D12" s="12">
        <v>4.18</v>
      </c>
      <c r="E12" s="15" t="s">
        <v>533</v>
      </c>
      <c r="I12" s="10"/>
    </row>
    <row r="13" spans="1:10" x14ac:dyDescent="0.2">
      <c r="A13" s="10">
        <v>20298</v>
      </c>
      <c r="B13" s="11">
        <v>42552</v>
      </c>
      <c r="C13" s="12">
        <v>29.23</v>
      </c>
      <c r="D13" s="12">
        <v>2.23</v>
      </c>
      <c r="E13" s="15" t="s">
        <v>11</v>
      </c>
      <c r="I13" s="10"/>
    </row>
    <row r="14" spans="1:10" x14ac:dyDescent="0.2">
      <c r="A14" s="10">
        <v>20299</v>
      </c>
      <c r="B14" s="11">
        <v>42552</v>
      </c>
      <c r="C14" s="12">
        <v>6</v>
      </c>
      <c r="D14" s="12"/>
      <c r="E14" s="15" t="s">
        <v>707</v>
      </c>
      <c r="F14" s="20">
        <f>+C4+C7+C8+198.94+C13+83.09</f>
        <v>435.59000000000003</v>
      </c>
      <c r="G14" s="20">
        <f>344.63+80.81</f>
        <v>425.44</v>
      </c>
      <c r="H14" s="114"/>
      <c r="I14" s="10"/>
    </row>
    <row r="15" spans="1:10" x14ac:dyDescent="0.2">
      <c r="A15" s="10">
        <v>20300</v>
      </c>
      <c r="B15" s="11">
        <v>42553</v>
      </c>
      <c r="C15" s="12">
        <v>281</v>
      </c>
      <c r="D15" s="12">
        <v>21.42</v>
      </c>
      <c r="E15" s="15" t="s">
        <v>21</v>
      </c>
      <c r="F15" s="21"/>
      <c r="G15" s="22"/>
      <c r="H15" s="10"/>
      <c r="I15" s="10"/>
    </row>
    <row r="16" spans="1:10" x14ac:dyDescent="0.2">
      <c r="A16" s="10">
        <v>20301</v>
      </c>
      <c r="B16" s="11">
        <v>42553</v>
      </c>
      <c r="C16" s="12">
        <v>147</v>
      </c>
      <c r="D16" s="12">
        <v>11.2</v>
      </c>
      <c r="E16" s="17"/>
      <c r="H16" s="12"/>
      <c r="I16" s="10"/>
    </row>
    <row r="17" spans="1:9" x14ac:dyDescent="0.2">
      <c r="A17" s="10">
        <v>20302</v>
      </c>
      <c r="B17" s="11">
        <v>42553</v>
      </c>
      <c r="C17" s="12">
        <v>155</v>
      </c>
      <c r="D17" s="12"/>
      <c r="E17" s="15" t="s">
        <v>16</v>
      </c>
      <c r="F17" s="21"/>
      <c r="G17" s="22"/>
      <c r="H17" s="10"/>
      <c r="I17" s="10"/>
    </row>
    <row r="18" spans="1:9" x14ac:dyDescent="0.2">
      <c r="A18" s="10">
        <v>20303</v>
      </c>
      <c r="B18" s="11">
        <v>42553</v>
      </c>
      <c r="C18" s="12">
        <v>605.81999999999994</v>
      </c>
      <c r="D18" s="12"/>
      <c r="E18" s="15" t="s">
        <v>229</v>
      </c>
      <c r="F18" s="21"/>
      <c r="G18" s="22"/>
      <c r="H18" s="10"/>
      <c r="I18" s="10"/>
    </row>
    <row r="19" spans="1:9" x14ac:dyDescent="0.2">
      <c r="A19" s="10">
        <v>20304</v>
      </c>
      <c r="B19" s="11">
        <v>42553</v>
      </c>
      <c r="C19" s="12">
        <v>113.66</v>
      </c>
      <c r="D19" s="12">
        <v>8.66</v>
      </c>
      <c r="E19" s="15" t="s">
        <v>533</v>
      </c>
      <c r="F19" s="21"/>
      <c r="G19" s="22"/>
      <c r="H19" s="10"/>
      <c r="I19" s="10"/>
    </row>
    <row r="20" spans="1:9" x14ac:dyDescent="0.2">
      <c r="A20" s="10">
        <v>20305</v>
      </c>
      <c r="B20" s="11">
        <v>42553</v>
      </c>
      <c r="C20" s="12">
        <v>8</v>
      </c>
      <c r="D20" s="12">
        <v>0.61</v>
      </c>
      <c r="E20" s="17"/>
      <c r="I20" s="10"/>
    </row>
    <row r="21" spans="1:9" x14ac:dyDescent="0.2">
      <c r="A21" s="10">
        <v>20306</v>
      </c>
      <c r="B21" s="11">
        <v>42553</v>
      </c>
      <c r="C21" s="12">
        <v>70.36</v>
      </c>
      <c r="D21" s="12">
        <v>5.36</v>
      </c>
      <c r="E21" s="15" t="s">
        <v>675</v>
      </c>
      <c r="F21" s="21"/>
      <c r="G21" s="22"/>
      <c r="H21" s="10"/>
      <c r="I21" s="10"/>
    </row>
    <row r="22" spans="1:9" x14ac:dyDescent="0.2">
      <c r="A22" s="10">
        <v>20307</v>
      </c>
      <c r="B22" s="11">
        <v>42553</v>
      </c>
      <c r="C22" s="12">
        <v>15</v>
      </c>
      <c r="D22" s="12">
        <v>1.1399999999999999</v>
      </c>
      <c r="E22" s="15" t="s">
        <v>11</v>
      </c>
      <c r="F22" s="20">
        <f>87.92+35.72+C22+113.66</f>
        <v>252.29999999999998</v>
      </c>
      <c r="G22" s="20">
        <f>135.97+110.53</f>
        <v>246.5</v>
      </c>
      <c r="H22" s="114"/>
      <c r="I22" s="10"/>
    </row>
    <row r="23" spans="1:9" x14ac:dyDescent="0.2">
      <c r="A23" s="10">
        <v>20308</v>
      </c>
      <c r="B23" s="11">
        <v>42555</v>
      </c>
      <c r="C23" s="12">
        <v>38</v>
      </c>
      <c r="D23" s="12">
        <v>2.9</v>
      </c>
      <c r="E23" s="17"/>
      <c r="H23" s="12"/>
      <c r="I23" s="10"/>
    </row>
    <row r="24" spans="1:9" x14ac:dyDescent="0.2">
      <c r="A24" s="10">
        <v>20309</v>
      </c>
      <c r="B24" s="11">
        <v>42555</v>
      </c>
      <c r="C24" s="12">
        <v>121</v>
      </c>
      <c r="D24" s="12"/>
      <c r="E24" s="15" t="s">
        <v>229</v>
      </c>
      <c r="H24" s="10"/>
      <c r="I24" s="10"/>
    </row>
    <row r="25" spans="1:9" x14ac:dyDescent="0.2">
      <c r="A25" s="10">
        <v>20310</v>
      </c>
      <c r="B25" s="11">
        <v>42555</v>
      </c>
      <c r="C25" s="12">
        <v>37</v>
      </c>
      <c r="D25" s="12">
        <v>2.0499999999999998</v>
      </c>
      <c r="E25" s="17"/>
      <c r="F25" s="20">
        <v>0</v>
      </c>
      <c r="G25" s="20">
        <f>+F25*0.97831</f>
        <v>0</v>
      </c>
      <c r="H25" s="12"/>
      <c r="I25" s="10"/>
    </row>
    <row r="26" spans="1:9" x14ac:dyDescent="0.2">
      <c r="A26" s="10">
        <v>20311</v>
      </c>
      <c r="B26" s="11">
        <v>42556</v>
      </c>
      <c r="C26" s="12">
        <v>87.68</v>
      </c>
      <c r="D26" s="12">
        <v>6.68</v>
      </c>
      <c r="E26" s="15" t="s">
        <v>11</v>
      </c>
      <c r="F26" s="21"/>
      <c r="G26" s="22"/>
      <c r="H26" s="10"/>
      <c r="I26" s="10"/>
    </row>
    <row r="27" spans="1:9" x14ac:dyDescent="0.2">
      <c r="A27" s="10">
        <v>20312</v>
      </c>
      <c r="B27" s="11">
        <v>42556</v>
      </c>
      <c r="C27" s="12">
        <v>92.01</v>
      </c>
      <c r="D27" s="12">
        <v>7.01</v>
      </c>
      <c r="E27" s="15" t="s">
        <v>11</v>
      </c>
      <c r="F27" s="21"/>
      <c r="G27" s="22"/>
      <c r="H27" s="10"/>
      <c r="I27" s="10"/>
    </row>
    <row r="28" spans="1:9" x14ac:dyDescent="0.2">
      <c r="A28" s="10">
        <v>20313</v>
      </c>
      <c r="B28" s="11">
        <v>42556</v>
      </c>
      <c r="C28" s="12">
        <v>147</v>
      </c>
      <c r="D28" s="12">
        <v>11.2</v>
      </c>
      <c r="E28" s="13" t="s">
        <v>708</v>
      </c>
      <c r="F28" s="18"/>
      <c r="G28" s="19"/>
      <c r="H28" s="12"/>
      <c r="I28" s="10"/>
    </row>
    <row r="29" spans="1:9" x14ac:dyDescent="0.2">
      <c r="A29" s="10">
        <v>20314</v>
      </c>
      <c r="B29" s="11">
        <v>42556</v>
      </c>
      <c r="C29" s="12">
        <v>55</v>
      </c>
      <c r="D29" s="12"/>
      <c r="E29" s="13"/>
      <c r="F29" s="18"/>
      <c r="G29" s="19"/>
      <c r="H29" s="12"/>
      <c r="I29" s="10"/>
    </row>
    <row r="30" spans="1:9" x14ac:dyDescent="0.2">
      <c r="A30" s="10">
        <v>20315</v>
      </c>
      <c r="B30" s="11">
        <v>42556</v>
      </c>
      <c r="C30" s="12">
        <v>38.700000000000003</v>
      </c>
      <c r="D30" s="12">
        <v>2.95</v>
      </c>
      <c r="E30" s="15" t="s">
        <v>533</v>
      </c>
      <c r="I30" s="10"/>
    </row>
    <row r="31" spans="1:9" x14ac:dyDescent="0.2">
      <c r="A31" s="10">
        <v>20316</v>
      </c>
      <c r="B31" s="11">
        <v>42556</v>
      </c>
      <c r="C31" s="12">
        <v>10</v>
      </c>
      <c r="D31" s="12">
        <v>0.76</v>
      </c>
      <c r="E31" s="17"/>
      <c r="F31" s="18"/>
      <c r="G31" s="19"/>
      <c r="H31" s="12"/>
      <c r="I31" s="10"/>
    </row>
    <row r="32" spans="1:9" x14ac:dyDescent="0.2">
      <c r="A32" s="10">
        <v>20317</v>
      </c>
      <c r="B32" s="11">
        <v>42556</v>
      </c>
      <c r="C32" s="12">
        <v>355.06</v>
      </c>
      <c r="D32" s="12">
        <v>27.06</v>
      </c>
      <c r="E32" s="15" t="s">
        <v>709</v>
      </c>
      <c r="F32" s="21"/>
      <c r="G32" s="22"/>
      <c r="H32" s="10"/>
      <c r="I32" s="10"/>
    </row>
    <row r="33" spans="1:9" x14ac:dyDescent="0.2">
      <c r="A33" s="10">
        <v>20318</v>
      </c>
      <c r="B33" s="11">
        <v>42556</v>
      </c>
      <c r="C33" s="12">
        <v>28</v>
      </c>
      <c r="D33" s="12"/>
      <c r="E33" s="15" t="s">
        <v>25</v>
      </c>
      <c r="F33" s="21"/>
      <c r="G33" s="22"/>
      <c r="H33" s="10"/>
      <c r="I33" s="10"/>
    </row>
    <row r="34" spans="1:9" x14ac:dyDescent="0.2">
      <c r="A34" s="10">
        <v>20319</v>
      </c>
      <c r="B34" s="11">
        <v>42556</v>
      </c>
      <c r="C34" s="12">
        <v>102.19000000000001</v>
      </c>
      <c r="D34" s="12">
        <v>7.79</v>
      </c>
      <c r="E34" s="15" t="s">
        <v>533</v>
      </c>
      <c r="F34" s="20">
        <f>+C26+C27+140.89</f>
        <v>320.58</v>
      </c>
      <c r="G34" s="20">
        <f>175.76+137.02</f>
        <v>312.77999999999997</v>
      </c>
      <c r="H34" s="114"/>
      <c r="I34" s="10"/>
    </row>
    <row r="35" spans="1:9" x14ac:dyDescent="0.2">
      <c r="A35" s="10">
        <v>20320</v>
      </c>
      <c r="B35" s="11">
        <v>42557</v>
      </c>
      <c r="C35" s="12">
        <v>124.49</v>
      </c>
      <c r="D35" s="12">
        <v>9.49</v>
      </c>
      <c r="E35" s="15" t="s">
        <v>11</v>
      </c>
      <c r="H35" s="10"/>
      <c r="I35" s="10"/>
    </row>
    <row r="36" spans="1:9" x14ac:dyDescent="0.2">
      <c r="A36" s="10">
        <v>20321</v>
      </c>
      <c r="B36" s="11">
        <v>42557</v>
      </c>
      <c r="C36" s="12">
        <v>31.92</v>
      </c>
      <c r="D36" s="12">
        <v>2.4300000000000002</v>
      </c>
      <c r="E36" s="15" t="s">
        <v>533</v>
      </c>
      <c r="F36" s="207"/>
      <c r="G36" s="207"/>
      <c r="H36" s="10"/>
      <c r="I36" s="10"/>
    </row>
    <row r="37" spans="1:9" x14ac:dyDescent="0.2">
      <c r="A37" s="10">
        <v>20322</v>
      </c>
      <c r="B37" s="11">
        <v>42557</v>
      </c>
      <c r="C37" s="12">
        <v>75.78</v>
      </c>
      <c r="D37" s="12">
        <v>5.78</v>
      </c>
      <c r="E37" s="15" t="s">
        <v>533</v>
      </c>
      <c r="H37" s="10"/>
      <c r="I37" s="10"/>
    </row>
    <row r="38" spans="1:9" x14ac:dyDescent="0.2">
      <c r="A38" s="10">
        <v>20323</v>
      </c>
      <c r="B38" s="11">
        <v>42557</v>
      </c>
      <c r="C38" s="12">
        <v>11.85</v>
      </c>
      <c r="D38" s="12">
        <v>0.9</v>
      </c>
      <c r="E38" s="15" t="s">
        <v>11</v>
      </c>
      <c r="F38" s="21"/>
      <c r="G38" s="22"/>
      <c r="H38" s="10"/>
      <c r="I38" s="10"/>
    </row>
    <row r="39" spans="1:9" x14ac:dyDescent="0.2">
      <c r="A39" s="10">
        <v>20324</v>
      </c>
      <c r="B39" s="11">
        <v>42557</v>
      </c>
      <c r="C39" s="12">
        <v>279.83</v>
      </c>
      <c r="D39" s="12">
        <v>21.33</v>
      </c>
      <c r="E39" s="15" t="s">
        <v>11</v>
      </c>
      <c r="I39" s="10"/>
    </row>
    <row r="40" spans="1:9" x14ac:dyDescent="0.2">
      <c r="A40" s="10">
        <v>20325</v>
      </c>
      <c r="B40" s="11">
        <v>42557</v>
      </c>
      <c r="C40" s="12">
        <v>234.36</v>
      </c>
      <c r="D40" s="12">
        <v>17.86</v>
      </c>
      <c r="E40" s="15" t="s">
        <v>11</v>
      </c>
      <c r="I40" s="10"/>
    </row>
    <row r="41" spans="1:9" x14ac:dyDescent="0.2">
      <c r="A41" s="10">
        <v>20326</v>
      </c>
      <c r="B41" s="11">
        <v>42557</v>
      </c>
      <c r="C41" s="12">
        <v>78.589999999999989</v>
      </c>
      <c r="D41" s="12">
        <v>5.99</v>
      </c>
      <c r="E41" s="15" t="s">
        <v>710</v>
      </c>
      <c r="F41" s="20">
        <f>+C35+C38+150+C40+107.7</f>
        <v>628.40000000000009</v>
      </c>
      <c r="G41" s="20">
        <f>511.61+104.74</f>
        <v>616.35</v>
      </c>
      <c r="H41" s="114"/>
      <c r="I41" s="10"/>
    </row>
    <row r="42" spans="1:9" x14ac:dyDescent="0.2">
      <c r="A42" s="10">
        <v>20327</v>
      </c>
      <c r="B42" s="11">
        <v>42558</v>
      </c>
      <c r="C42" s="12">
        <v>15</v>
      </c>
      <c r="D42" s="12">
        <v>1.1399999999999999</v>
      </c>
      <c r="E42" s="17"/>
      <c r="F42" s="18"/>
      <c r="G42" s="19"/>
      <c r="H42" s="12"/>
      <c r="I42" s="10"/>
    </row>
    <row r="43" spans="1:9" x14ac:dyDescent="0.2">
      <c r="A43" s="10">
        <v>20328</v>
      </c>
      <c r="B43" s="11">
        <v>42558</v>
      </c>
      <c r="C43" s="12">
        <v>20.57</v>
      </c>
      <c r="D43" s="12">
        <v>1.57</v>
      </c>
      <c r="E43" s="17"/>
      <c r="H43" s="12"/>
      <c r="I43" s="10"/>
    </row>
    <row r="44" spans="1:9" x14ac:dyDescent="0.2">
      <c r="A44" s="10">
        <v>20329</v>
      </c>
      <c r="B44" s="11">
        <v>42558</v>
      </c>
      <c r="C44" s="12">
        <v>304.18</v>
      </c>
      <c r="D44" s="12">
        <v>23.18</v>
      </c>
      <c r="E44" s="15" t="s">
        <v>11</v>
      </c>
      <c r="F44" s="21"/>
      <c r="G44" s="22"/>
      <c r="H44" s="10"/>
      <c r="I44" s="10"/>
    </row>
    <row r="45" spans="1:9" x14ac:dyDescent="0.2">
      <c r="A45" s="10">
        <v>20330</v>
      </c>
      <c r="B45" s="11">
        <v>42558</v>
      </c>
      <c r="C45" s="12">
        <v>21.599999999999998</v>
      </c>
      <c r="D45" s="12">
        <v>1.65</v>
      </c>
      <c r="E45" s="17"/>
      <c r="H45" s="12"/>
      <c r="I45" s="10"/>
    </row>
    <row r="46" spans="1:9" x14ac:dyDescent="0.2">
      <c r="A46" s="10">
        <v>20331</v>
      </c>
      <c r="B46" s="11">
        <v>42558</v>
      </c>
      <c r="C46" s="12">
        <v>114.75</v>
      </c>
      <c r="D46" s="12">
        <v>8.75</v>
      </c>
      <c r="E46" s="15" t="s">
        <v>533</v>
      </c>
      <c r="F46" s="21"/>
      <c r="G46" s="22"/>
      <c r="H46" s="10"/>
      <c r="I46" s="10"/>
    </row>
    <row r="47" spans="1:9" x14ac:dyDescent="0.2">
      <c r="A47" s="10">
        <v>20332</v>
      </c>
      <c r="B47" s="11">
        <v>42558</v>
      </c>
      <c r="C47" s="12">
        <v>14.3</v>
      </c>
      <c r="D47" s="12"/>
      <c r="E47" s="15" t="s">
        <v>25</v>
      </c>
      <c r="I47" s="10"/>
    </row>
    <row r="48" spans="1:9" x14ac:dyDescent="0.2">
      <c r="A48" s="10">
        <v>20333</v>
      </c>
      <c r="B48" s="11">
        <v>42558</v>
      </c>
      <c r="C48" s="12">
        <v>201.82</v>
      </c>
      <c r="D48" s="12"/>
      <c r="E48" s="15" t="s">
        <v>229</v>
      </c>
      <c r="F48" s="21"/>
      <c r="G48" s="22"/>
      <c r="H48" s="10"/>
      <c r="I48" s="10"/>
    </row>
    <row r="49" spans="1:9" x14ac:dyDescent="0.2">
      <c r="A49" s="10">
        <v>20334</v>
      </c>
      <c r="B49" s="11">
        <v>42558</v>
      </c>
      <c r="C49" s="12">
        <v>37.89</v>
      </c>
      <c r="D49" s="12">
        <v>2.89</v>
      </c>
      <c r="E49" s="17"/>
      <c r="I49" s="10"/>
    </row>
    <row r="50" spans="1:9" x14ac:dyDescent="0.2">
      <c r="A50" s="10">
        <v>20335</v>
      </c>
      <c r="B50" s="11">
        <v>42558</v>
      </c>
      <c r="C50" s="12">
        <v>23</v>
      </c>
      <c r="D50" s="12">
        <v>1.75</v>
      </c>
      <c r="E50" s="17"/>
      <c r="F50" s="18"/>
      <c r="G50" s="19"/>
      <c r="H50" s="12"/>
      <c r="I50" s="10"/>
    </row>
    <row r="51" spans="1:9" x14ac:dyDescent="0.2">
      <c r="A51" s="10">
        <v>20336</v>
      </c>
      <c r="B51" s="11">
        <v>42558</v>
      </c>
      <c r="C51" s="12">
        <v>156.96</v>
      </c>
      <c r="D51" s="12">
        <v>11.96</v>
      </c>
      <c r="E51" s="17"/>
      <c r="F51" s="18"/>
      <c r="G51" s="19"/>
      <c r="H51" s="12"/>
      <c r="I51" s="10"/>
    </row>
    <row r="52" spans="1:9" x14ac:dyDescent="0.2">
      <c r="A52" s="10">
        <v>20337</v>
      </c>
      <c r="B52" s="11">
        <v>42558</v>
      </c>
      <c r="C52" s="12">
        <v>215.42000000000002</v>
      </c>
      <c r="D52" s="12">
        <v>16.420000000000002</v>
      </c>
      <c r="E52" s="15" t="s">
        <v>11</v>
      </c>
      <c r="F52" s="21"/>
      <c r="G52" s="22"/>
      <c r="H52" s="10"/>
      <c r="I52" s="10"/>
    </row>
    <row r="53" spans="1:9" x14ac:dyDescent="0.2">
      <c r="A53" s="10">
        <v>20338</v>
      </c>
      <c r="B53" s="11">
        <v>42558</v>
      </c>
      <c r="C53" s="12">
        <v>5.41</v>
      </c>
      <c r="D53" s="12">
        <v>0.41</v>
      </c>
      <c r="E53" s="17"/>
      <c r="I53" s="10"/>
    </row>
    <row r="54" spans="1:9" x14ac:dyDescent="0.2">
      <c r="A54" s="10">
        <v>20339</v>
      </c>
      <c r="B54" s="11">
        <v>42558</v>
      </c>
      <c r="C54" s="12">
        <v>116.91</v>
      </c>
      <c r="D54" s="12">
        <v>8.91</v>
      </c>
      <c r="E54" s="15" t="s">
        <v>21</v>
      </c>
      <c r="I54" s="10"/>
    </row>
    <row r="55" spans="1:9" x14ac:dyDescent="0.2">
      <c r="A55" s="10">
        <v>20340</v>
      </c>
      <c r="B55" s="11">
        <v>42558</v>
      </c>
      <c r="C55" s="12">
        <v>180.05</v>
      </c>
      <c r="D55" s="12">
        <v>13.72</v>
      </c>
      <c r="E55" s="15"/>
      <c r="F55" s="20">
        <f>30+C52+C44+114.75</f>
        <v>664.35</v>
      </c>
      <c r="G55" s="20">
        <f>538.41+111.59</f>
        <v>650</v>
      </c>
      <c r="H55" s="114"/>
      <c r="I55" s="10"/>
    </row>
    <row r="56" spans="1:9" x14ac:dyDescent="0.2">
      <c r="A56" s="10">
        <v>20341</v>
      </c>
      <c r="B56" s="11">
        <v>42559</v>
      </c>
      <c r="C56" s="12">
        <v>42.5</v>
      </c>
      <c r="D56" s="12">
        <v>3.24</v>
      </c>
      <c r="E56" s="15" t="s">
        <v>11</v>
      </c>
      <c r="H56" s="10"/>
      <c r="I56" s="10"/>
    </row>
    <row r="57" spans="1:9" x14ac:dyDescent="0.2">
      <c r="A57" s="10">
        <v>20342</v>
      </c>
      <c r="B57" s="11">
        <v>42559</v>
      </c>
      <c r="C57" s="12">
        <v>10.83</v>
      </c>
      <c r="D57" s="12">
        <v>0.83</v>
      </c>
      <c r="E57" s="17"/>
      <c r="H57" s="12"/>
      <c r="I57" s="10"/>
    </row>
    <row r="58" spans="1:9" x14ac:dyDescent="0.2">
      <c r="A58" s="10">
        <v>20343</v>
      </c>
      <c r="B58" s="11">
        <v>42559</v>
      </c>
      <c r="C58" s="12">
        <v>42</v>
      </c>
      <c r="D58" s="12"/>
      <c r="E58" s="15" t="s">
        <v>10</v>
      </c>
      <c r="F58" s="21"/>
      <c r="G58" s="22"/>
      <c r="H58" s="10"/>
      <c r="I58" s="10"/>
    </row>
    <row r="59" spans="1:9" x14ac:dyDescent="0.2">
      <c r="A59" s="10">
        <v>20344</v>
      </c>
      <c r="B59" s="11">
        <v>42559</v>
      </c>
      <c r="C59" s="12">
        <v>167.88</v>
      </c>
      <c r="D59" s="12"/>
      <c r="E59" s="15" t="s">
        <v>229</v>
      </c>
      <c r="H59" s="10"/>
      <c r="I59" s="10"/>
    </row>
    <row r="60" spans="1:9" x14ac:dyDescent="0.2">
      <c r="A60" s="10">
        <v>20345</v>
      </c>
      <c r="B60" s="11">
        <v>42559</v>
      </c>
      <c r="C60" s="12">
        <v>29.23</v>
      </c>
      <c r="D60" s="12">
        <v>2.23</v>
      </c>
      <c r="E60" s="17"/>
      <c r="H60" s="12"/>
      <c r="I60" s="10"/>
    </row>
    <row r="61" spans="1:9" x14ac:dyDescent="0.2">
      <c r="A61" s="10">
        <v>20346</v>
      </c>
      <c r="B61" s="11">
        <v>42559</v>
      </c>
      <c r="C61" s="12">
        <v>77.89</v>
      </c>
      <c r="D61" s="12">
        <v>5.94</v>
      </c>
      <c r="E61" s="15" t="s">
        <v>11</v>
      </c>
      <c r="F61" s="21"/>
      <c r="G61" s="22"/>
      <c r="H61" s="10"/>
      <c r="I61" s="10"/>
    </row>
    <row r="62" spans="1:9" x14ac:dyDescent="0.2">
      <c r="A62" s="10">
        <v>20347</v>
      </c>
      <c r="B62" s="11">
        <v>42559</v>
      </c>
      <c r="C62" s="12">
        <v>218.67000000000002</v>
      </c>
      <c r="D62" s="12">
        <v>16.670000000000002</v>
      </c>
      <c r="E62" s="15" t="s">
        <v>11</v>
      </c>
      <c r="F62" s="134">
        <f>+C56+C61+C62</f>
        <v>339.06</v>
      </c>
      <c r="G62" s="123">
        <f>+F62*0.97831</f>
        <v>331.70578860000001</v>
      </c>
      <c r="H62" s="10"/>
      <c r="I62" s="10"/>
    </row>
    <row r="63" spans="1:9" x14ac:dyDescent="0.2">
      <c r="A63" s="10">
        <v>20348</v>
      </c>
      <c r="B63" s="11">
        <v>42560</v>
      </c>
      <c r="C63" s="12">
        <v>24.46</v>
      </c>
      <c r="D63" s="12">
        <v>1.86</v>
      </c>
      <c r="E63" s="17"/>
      <c r="F63" s="18"/>
      <c r="G63" s="19"/>
      <c r="H63" s="12"/>
      <c r="I63" s="10"/>
    </row>
    <row r="64" spans="1:9" x14ac:dyDescent="0.2">
      <c r="A64" s="10">
        <v>20349</v>
      </c>
      <c r="B64" s="11">
        <v>42560</v>
      </c>
      <c r="C64" s="12">
        <v>10.83</v>
      </c>
      <c r="D64" s="12">
        <v>0.83</v>
      </c>
      <c r="E64" s="15" t="s">
        <v>11</v>
      </c>
      <c r="H64" s="10"/>
      <c r="I64" s="10"/>
    </row>
    <row r="65" spans="1:9" x14ac:dyDescent="0.2">
      <c r="A65" s="10">
        <v>20350</v>
      </c>
      <c r="B65" s="11">
        <v>42560</v>
      </c>
      <c r="C65" s="12">
        <v>40</v>
      </c>
      <c r="D65" s="12">
        <v>3.05</v>
      </c>
      <c r="E65" s="15" t="s">
        <v>11</v>
      </c>
      <c r="H65" s="10"/>
      <c r="I65" s="10"/>
    </row>
    <row r="66" spans="1:9" x14ac:dyDescent="0.2">
      <c r="A66" s="10">
        <v>20351</v>
      </c>
      <c r="B66" s="11">
        <v>42560</v>
      </c>
      <c r="C66" s="12">
        <v>260.83</v>
      </c>
      <c r="D66" s="12">
        <v>19.88</v>
      </c>
      <c r="E66" s="17"/>
      <c r="H66" s="12"/>
      <c r="I66" s="10"/>
    </row>
    <row r="67" spans="1:9" x14ac:dyDescent="0.2">
      <c r="A67" s="10">
        <v>20352</v>
      </c>
      <c r="B67" s="11">
        <v>42560</v>
      </c>
      <c r="C67" s="12">
        <v>108.25</v>
      </c>
      <c r="D67" s="12">
        <v>8.25</v>
      </c>
      <c r="E67" s="15"/>
      <c r="H67" s="10"/>
      <c r="I67" s="10"/>
    </row>
    <row r="68" spans="1:9" x14ac:dyDescent="0.2">
      <c r="A68" s="10">
        <v>20353</v>
      </c>
      <c r="B68" s="11">
        <v>42560</v>
      </c>
      <c r="C68" s="12">
        <v>60.57</v>
      </c>
      <c r="D68" s="12">
        <v>4.62</v>
      </c>
      <c r="E68" s="15" t="s">
        <v>533</v>
      </c>
      <c r="F68" s="21"/>
      <c r="G68" s="22"/>
      <c r="H68" s="10"/>
      <c r="I68" s="10"/>
    </row>
    <row r="69" spans="1:9" x14ac:dyDescent="0.2">
      <c r="A69" s="10">
        <v>20354</v>
      </c>
      <c r="B69" s="11">
        <v>42560</v>
      </c>
      <c r="C69" s="12">
        <v>280</v>
      </c>
      <c r="D69" s="12">
        <v>21.34</v>
      </c>
      <c r="E69" s="15"/>
      <c r="I69" s="10"/>
    </row>
    <row r="70" spans="1:9" x14ac:dyDescent="0.2">
      <c r="A70" s="10">
        <v>20355</v>
      </c>
      <c r="B70" s="11">
        <v>42560</v>
      </c>
      <c r="C70" s="12">
        <v>154</v>
      </c>
      <c r="D70" s="12">
        <v>11.74</v>
      </c>
      <c r="E70" s="17"/>
      <c r="I70" s="10"/>
    </row>
    <row r="71" spans="1:9" x14ac:dyDescent="0.2">
      <c r="A71" s="10">
        <v>20356</v>
      </c>
      <c r="B71" s="11">
        <v>42560</v>
      </c>
      <c r="C71" s="12">
        <v>312</v>
      </c>
      <c r="D71" s="12"/>
      <c r="E71" s="15" t="s">
        <v>25</v>
      </c>
      <c r="I71" s="10"/>
    </row>
    <row r="72" spans="1:9" x14ac:dyDescent="0.2">
      <c r="A72" s="10">
        <v>20357</v>
      </c>
      <c r="B72" s="11">
        <v>42560</v>
      </c>
      <c r="C72" s="12">
        <v>97.37</v>
      </c>
      <c r="D72" s="12">
        <v>7.42</v>
      </c>
      <c r="E72" s="17"/>
      <c r="I72" s="10"/>
    </row>
    <row r="73" spans="1:9" x14ac:dyDescent="0.2">
      <c r="A73" s="10">
        <v>20358</v>
      </c>
      <c r="B73" s="11">
        <v>42560</v>
      </c>
      <c r="C73" s="12">
        <v>10</v>
      </c>
      <c r="D73" s="12">
        <v>0.76</v>
      </c>
      <c r="E73" s="17"/>
      <c r="I73" s="10"/>
    </row>
    <row r="74" spans="1:9" x14ac:dyDescent="0.2">
      <c r="A74" s="10">
        <v>20359</v>
      </c>
      <c r="B74" s="11">
        <v>42560</v>
      </c>
      <c r="C74" s="12">
        <v>7.58</v>
      </c>
      <c r="D74" s="12">
        <v>0.57999999999999996</v>
      </c>
      <c r="E74" s="15" t="s">
        <v>11</v>
      </c>
      <c r="I74" s="10"/>
    </row>
    <row r="75" spans="1:9" x14ac:dyDescent="0.2">
      <c r="A75" s="10">
        <v>20360</v>
      </c>
      <c r="B75" s="11">
        <v>42560</v>
      </c>
      <c r="C75" s="12">
        <v>50</v>
      </c>
      <c r="D75" s="12">
        <v>3.81</v>
      </c>
      <c r="E75" s="15" t="s">
        <v>533</v>
      </c>
      <c r="F75" s="20">
        <f>+C64+C65+C74+110.57</f>
        <v>168.98</v>
      </c>
      <c r="G75" s="20">
        <f>57.02+107.52</f>
        <v>164.54</v>
      </c>
      <c r="H75" s="114"/>
      <c r="I75" s="10"/>
    </row>
    <row r="76" spans="1:9" x14ac:dyDescent="0.2">
      <c r="A76" s="10">
        <v>20361</v>
      </c>
      <c r="B76" s="11">
        <v>42562</v>
      </c>
      <c r="C76" s="12">
        <v>92</v>
      </c>
      <c r="D76" s="12">
        <v>7</v>
      </c>
      <c r="E76" s="15" t="s">
        <v>11</v>
      </c>
      <c r="F76" s="21"/>
      <c r="G76" s="22"/>
      <c r="H76" s="10"/>
      <c r="I76" s="10"/>
    </row>
    <row r="77" spans="1:9" x14ac:dyDescent="0.2">
      <c r="A77" s="10">
        <v>20362</v>
      </c>
      <c r="B77" s="11">
        <v>42562</v>
      </c>
      <c r="C77" s="12">
        <v>46.49</v>
      </c>
      <c r="D77" s="12">
        <v>3.54</v>
      </c>
      <c r="E77" s="15" t="s">
        <v>711</v>
      </c>
      <c r="F77" s="21"/>
      <c r="G77" s="22"/>
      <c r="H77" s="10"/>
      <c r="I77" s="10"/>
    </row>
    <row r="78" spans="1:9" x14ac:dyDescent="0.2">
      <c r="A78" s="10">
        <v>20363</v>
      </c>
      <c r="B78" s="11">
        <v>42562</v>
      </c>
      <c r="C78" s="12">
        <v>3.1900000000000004</v>
      </c>
      <c r="D78" s="12">
        <v>0.24</v>
      </c>
      <c r="E78" s="17"/>
      <c r="H78" s="12"/>
      <c r="I78" s="10"/>
    </row>
    <row r="79" spans="1:9" x14ac:dyDescent="0.2">
      <c r="A79" s="10">
        <v>20364</v>
      </c>
      <c r="B79" s="11">
        <v>42562</v>
      </c>
      <c r="C79" s="12">
        <v>12.94</v>
      </c>
      <c r="D79" s="12">
        <v>0.99</v>
      </c>
      <c r="E79" s="17"/>
      <c r="H79" s="12"/>
      <c r="I79" s="10"/>
    </row>
    <row r="80" spans="1:9" x14ac:dyDescent="0.2">
      <c r="A80" s="10">
        <v>20365</v>
      </c>
      <c r="B80" s="11">
        <v>42562</v>
      </c>
      <c r="C80" s="12">
        <v>191.06</v>
      </c>
      <c r="D80" s="12">
        <v>14.56</v>
      </c>
      <c r="E80" s="15" t="s">
        <v>7</v>
      </c>
      <c r="H80" s="10"/>
      <c r="I80" s="10"/>
    </row>
    <row r="81" spans="1:9" x14ac:dyDescent="0.2">
      <c r="A81" s="10">
        <v>20366</v>
      </c>
      <c r="B81" s="11">
        <v>42562</v>
      </c>
      <c r="C81" s="12">
        <v>124.49</v>
      </c>
      <c r="D81" s="12">
        <v>9.49</v>
      </c>
      <c r="E81" s="15" t="s">
        <v>11</v>
      </c>
      <c r="H81" s="10"/>
      <c r="I81" s="10"/>
    </row>
    <row r="82" spans="1:9" x14ac:dyDescent="0.2">
      <c r="A82" s="10">
        <v>20367</v>
      </c>
      <c r="B82" s="11">
        <v>42562</v>
      </c>
      <c r="C82" s="12">
        <v>411.35</v>
      </c>
      <c r="D82" s="12">
        <v>31.35</v>
      </c>
      <c r="E82" s="15" t="s">
        <v>7</v>
      </c>
      <c r="F82" s="21"/>
      <c r="G82" s="22"/>
      <c r="H82" s="10"/>
      <c r="I82" s="10"/>
    </row>
    <row r="83" spans="1:9" x14ac:dyDescent="0.2">
      <c r="A83" s="10">
        <v>20368</v>
      </c>
      <c r="B83" s="11">
        <v>42562</v>
      </c>
      <c r="C83" s="12">
        <v>271.17</v>
      </c>
      <c r="D83" s="12">
        <v>20.67</v>
      </c>
      <c r="E83" s="17"/>
      <c r="F83" s="20">
        <f>+C76+155.06+C81+C82</f>
        <v>782.90000000000009</v>
      </c>
      <c r="G83" s="20">
        <v>771.56</v>
      </c>
      <c r="H83" s="12"/>
      <c r="I83" s="10"/>
    </row>
    <row r="84" spans="1:9" x14ac:dyDescent="0.2">
      <c r="A84" s="10">
        <v>20369</v>
      </c>
      <c r="B84" s="11">
        <v>42563</v>
      </c>
      <c r="C84" s="12">
        <v>210</v>
      </c>
      <c r="D84" s="12">
        <v>16</v>
      </c>
      <c r="E84" s="15" t="s">
        <v>712</v>
      </c>
      <c r="H84" s="10"/>
      <c r="I84" s="10"/>
    </row>
    <row r="85" spans="1:9" x14ac:dyDescent="0.2">
      <c r="A85" s="10">
        <v>20370</v>
      </c>
      <c r="B85" s="11">
        <v>42563</v>
      </c>
      <c r="C85" s="12">
        <v>51</v>
      </c>
      <c r="D85" s="12"/>
      <c r="E85" s="15" t="s">
        <v>417</v>
      </c>
      <c r="H85" s="10"/>
      <c r="I85" s="10"/>
    </row>
    <row r="86" spans="1:9" x14ac:dyDescent="0.2">
      <c r="A86" s="10">
        <v>20371</v>
      </c>
      <c r="B86" s="11">
        <v>42563</v>
      </c>
      <c r="C86" s="12">
        <v>180</v>
      </c>
      <c r="D86" s="12"/>
      <c r="E86" s="15" t="s">
        <v>713</v>
      </c>
      <c r="H86" s="10"/>
      <c r="I86" s="10"/>
    </row>
    <row r="87" spans="1:9" x14ac:dyDescent="0.2">
      <c r="A87" s="10">
        <v>20372</v>
      </c>
      <c r="B87" s="11">
        <v>42563</v>
      </c>
      <c r="C87" s="12">
        <v>91</v>
      </c>
      <c r="D87" s="12"/>
      <c r="E87" s="15" t="s">
        <v>417</v>
      </c>
      <c r="H87" s="10"/>
      <c r="I87" s="10"/>
    </row>
    <row r="88" spans="1:9" x14ac:dyDescent="0.2">
      <c r="A88" s="10">
        <v>20373</v>
      </c>
      <c r="B88" s="11">
        <v>42563</v>
      </c>
      <c r="C88" s="12">
        <v>248.43</v>
      </c>
      <c r="D88" s="12">
        <v>18.93</v>
      </c>
      <c r="E88" s="15" t="s">
        <v>7</v>
      </c>
      <c r="H88" s="10"/>
      <c r="I88" s="10"/>
    </row>
    <row r="89" spans="1:9" x14ac:dyDescent="0.2">
      <c r="A89" s="10">
        <v>20374</v>
      </c>
      <c r="B89" s="11">
        <v>42563</v>
      </c>
      <c r="C89" s="12">
        <v>9.5</v>
      </c>
      <c r="D89" s="12"/>
      <c r="E89" s="15" t="s">
        <v>417</v>
      </c>
      <c r="F89" s="21"/>
      <c r="G89" s="22"/>
      <c r="H89" s="10"/>
      <c r="I89" s="10"/>
    </row>
    <row r="90" spans="1:9" x14ac:dyDescent="0.2">
      <c r="A90" s="10">
        <v>20375</v>
      </c>
      <c r="B90" s="11">
        <v>42563</v>
      </c>
      <c r="C90" s="12">
        <v>3</v>
      </c>
      <c r="D90" s="12">
        <v>0.23</v>
      </c>
      <c r="E90" s="13"/>
      <c r="F90" s="18"/>
      <c r="G90" s="19"/>
      <c r="H90" s="12"/>
      <c r="I90" s="10"/>
    </row>
    <row r="91" spans="1:9" x14ac:dyDescent="0.2">
      <c r="A91" s="10">
        <v>20376</v>
      </c>
      <c r="B91" s="11">
        <v>42563</v>
      </c>
      <c r="C91" s="12">
        <v>32.479999999999997</v>
      </c>
      <c r="D91" s="12">
        <v>2.48</v>
      </c>
      <c r="E91" s="15" t="s">
        <v>11</v>
      </c>
      <c r="F91" s="21"/>
      <c r="G91" s="22"/>
      <c r="H91" s="10"/>
      <c r="I91" s="10"/>
    </row>
    <row r="92" spans="1:9" x14ac:dyDescent="0.2">
      <c r="A92" s="10">
        <v>20377</v>
      </c>
      <c r="B92" s="11">
        <v>42563</v>
      </c>
      <c r="C92" s="12">
        <v>128.76</v>
      </c>
      <c r="D92" s="12">
        <v>9.81</v>
      </c>
      <c r="E92" s="17"/>
      <c r="H92" s="12"/>
      <c r="I92" s="10"/>
    </row>
    <row r="93" spans="1:9" x14ac:dyDescent="0.2">
      <c r="A93" s="10">
        <v>20378</v>
      </c>
      <c r="B93" s="11">
        <v>42563</v>
      </c>
      <c r="C93" s="12">
        <v>48.44</v>
      </c>
      <c r="D93" s="12">
        <v>3.69</v>
      </c>
      <c r="E93" s="17"/>
      <c r="F93" s="18"/>
      <c r="G93" s="19"/>
      <c r="H93" s="12"/>
      <c r="I93" s="10"/>
    </row>
    <row r="94" spans="1:9" x14ac:dyDescent="0.2">
      <c r="A94" s="10">
        <v>20379</v>
      </c>
      <c r="B94" s="11">
        <v>42563</v>
      </c>
      <c r="C94" s="12">
        <v>170.81</v>
      </c>
      <c r="D94" s="12"/>
      <c r="E94" s="13" t="s">
        <v>401</v>
      </c>
      <c r="H94" s="12"/>
      <c r="I94" s="10"/>
    </row>
    <row r="95" spans="1:9" x14ac:dyDescent="0.2">
      <c r="A95" s="10">
        <v>20380</v>
      </c>
      <c r="B95" s="11">
        <v>42563</v>
      </c>
      <c r="C95" s="12">
        <v>420</v>
      </c>
      <c r="D95" s="12">
        <v>32</v>
      </c>
      <c r="E95" s="15" t="s">
        <v>13</v>
      </c>
      <c r="F95" s="21"/>
      <c r="G95" s="22"/>
      <c r="H95" s="10"/>
      <c r="I95" s="10"/>
    </row>
    <row r="96" spans="1:9" x14ac:dyDescent="0.2">
      <c r="A96" s="10">
        <v>20381</v>
      </c>
      <c r="B96" s="11">
        <v>42563</v>
      </c>
      <c r="C96" s="12">
        <v>475</v>
      </c>
      <c r="D96" s="12">
        <v>36.200000000000003</v>
      </c>
      <c r="E96" s="15" t="s">
        <v>11</v>
      </c>
      <c r="H96" s="10"/>
      <c r="I96" s="10"/>
    </row>
    <row r="97" spans="1:9" x14ac:dyDescent="0.2">
      <c r="A97" s="10">
        <v>20382</v>
      </c>
      <c r="B97" s="11">
        <v>42563</v>
      </c>
      <c r="C97" s="12">
        <v>2.5</v>
      </c>
      <c r="D97" s="12">
        <v>0.19</v>
      </c>
      <c r="E97" s="17"/>
      <c r="H97" s="12"/>
      <c r="I97" s="10"/>
    </row>
    <row r="98" spans="1:9" x14ac:dyDescent="0.2">
      <c r="A98" s="10">
        <v>20383</v>
      </c>
      <c r="B98" s="11">
        <v>42563</v>
      </c>
      <c r="C98" s="12">
        <v>31.5</v>
      </c>
      <c r="D98" s="12"/>
      <c r="E98" s="15" t="s">
        <v>21</v>
      </c>
      <c r="F98" s="20">
        <f>+C80+C85+42+C88+C87+C89+C91+C95+275</f>
        <v>1360.47</v>
      </c>
      <c r="G98" s="20">
        <v>1340.54</v>
      </c>
      <c r="H98" s="114" t="s">
        <v>714</v>
      </c>
      <c r="I98" s="10"/>
    </row>
    <row r="99" spans="1:9" x14ac:dyDescent="0.2">
      <c r="A99" s="10">
        <v>20384</v>
      </c>
      <c r="B99" s="11">
        <v>42564</v>
      </c>
      <c r="C99" s="12">
        <v>20</v>
      </c>
      <c r="D99" s="12">
        <v>1.52</v>
      </c>
      <c r="E99" s="17"/>
      <c r="F99" s="18"/>
      <c r="G99" s="19"/>
      <c r="H99" s="12"/>
      <c r="I99" s="10"/>
    </row>
    <row r="100" spans="1:9" x14ac:dyDescent="0.2">
      <c r="A100" s="10">
        <v>20385</v>
      </c>
      <c r="B100" s="11">
        <v>42564</v>
      </c>
      <c r="C100" s="12">
        <v>165.4</v>
      </c>
      <c r="D100" s="12">
        <v>12.61</v>
      </c>
      <c r="E100" s="17"/>
      <c r="H100" s="12"/>
      <c r="I100" s="10"/>
    </row>
    <row r="101" spans="1:9" x14ac:dyDescent="0.2">
      <c r="A101" s="10">
        <v>20386</v>
      </c>
      <c r="B101" s="11">
        <v>42564</v>
      </c>
      <c r="C101" s="12">
        <v>222</v>
      </c>
      <c r="D101" s="12">
        <v>16.920000000000002</v>
      </c>
      <c r="E101" s="15" t="s">
        <v>11</v>
      </c>
      <c r="H101" s="10"/>
      <c r="I101" s="10"/>
    </row>
    <row r="102" spans="1:9" x14ac:dyDescent="0.2">
      <c r="A102" s="10">
        <v>20387</v>
      </c>
      <c r="B102" s="11">
        <v>42564</v>
      </c>
      <c r="C102" s="12">
        <v>16.18</v>
      </c>
      <c r="D102" s="12">
        <v>1.23</v>
      </c>
      <c r="E102" s="15" t="s">
        <v>7</v>
      </c>
      <c r="H102" s="10"/>
      <c r="I102" s="10"/>
    </row>
    <row r="103" spans="1:9" x14ac:dyDescent="0.2">
      <c r="A103" s="10">
        <v>20388</v>
      </c>
      <c r="B103" s="11">
        <v>42564</v>
      </c>
      <c r="C103" s="12">
        <v>161.29</v>
      </c>
      <c r="D103" s="12">
        <v>12.29</v>
      </c>
      <c r="E103" s="15" t="s">
        <v>11</v>
      </c>
      <c r="F103" s="21"/>
      <c r="G103" s="22"/>
      <c r="H103" s="10"/>
      <c r="I103" s="10"/>
    </row>
    <row r="104" spans="1:9" x14ac:dyDescent="0.2">
      <c r="A104" s="10">
        <v>20389</v>
      </c>
      <c r="B104" s="11">
        <v>42564</v>
      </c>
      <c r="C104" s="12">
        <v>4.87</v>
      </c>
      <c r="D104" s="12">
        <v>0.37</v>
      </c>
      <c r="E104" s="13"/>
      <c r="F104" s="18"/>
      <c r="G104" s="19"/>
      <c r="H104" s="12"/>
      <c r="I104" s="10"/>
    </row>
    <row r="105" spans="1:9" x14ac:dyDescent="0.2">
      <c r="A105" s="10">
        <v>20390</v>
      </c>
      <c r="B105" s="11">
        <v>42564</v>
      </c>
      <c r="C105" s="12">
        <v>49.8</v>
      </c>
      <c r="D105" s="12">
        <v>3.8</v>
      </c>
      <c r="E105" s="15" t="s">
        <v>21</v>
      </c>
      <c r="F105" s="21"/>
      <c r="G105" s="22"/>
      <c r="H105" s="10"/>
      <c r="I105" s="10"/>
    </row>
    <row r="106" spans="1:9" x14ac:dyDescent="0.2">
      <c r="A106" s="10">
        <v>20391</v>
      </c>
      <c r="B106" s="11">
        <v>42564</v>
      </c>
      <c r="C106" s="12">
        <v>23.2</v>
      </c>
      <c r="D106" s="12"/>
      <c r="E106" s="15" t="s">
        <v>21</v>
      </c>
      <c r="F106" s="21"/>
      <c r="G106" s="22"/>
      <c r="H106" s="10"/>
      <c r="I106" s="10"/>
    </row>
    <row r="107" spans="1:9" x14ac:dyDescent="0.2">
      <c r="A107" s="10">
        <v>20392</v>
      </c>
      <c r="B107" s="11">
        <v>42564</v>
      </c>
      <c r="C107" s="12">
        <v>70</v>
      </c>
      <c r="D107" s="12">
        <v>5.33</v>
      </c>
      <c r="E107" s="15"/>
      <c r="F107" s="21"/>
      <c r="G107" s="22"/>
      <c r="H107" s="10"/>
      <c r="I107" s="10"/>
    </row>
    <row r="108" spans="1:9" x14ac:dyDescent="0.2">
      <c r="A108" s="10">
        <v>20393</v>
      </c>
      <c r="B108" s="11">
        <v>42564</v>
      </c>
      <c r="C108" s="12">
        <v>48.71</v>
      </c>
      <c r="D108" s="12">
        <v>3.71</v>
      </c>
      <c r="E108" s="15" t="s">
        <v>533</v>
      </c>
      <c r="F108" s="21"/>
      <c r="G108" s="22"/>
      <c r="H108" s="10"/>
      <c r="I108" s="10"/>
    </row>
    <row r="109" spans="1:9" x14ac:dyDescent="0.2">
      <c r="A109" s="10">
        <v>20394</v>
      </c>
      <c r="B109" s="11">
        <v>42564</v>
      </c>
      <c r="C109" s="12">
        <v>155.88</v>
      </c>
      <c r="D109" s="12">
        <v>11.88</v>
      </c>
      <c r="E109" s="15" t="s">
        <v>715</v>
      </c>
      <c r="I109" s="10"/>
    </row>
    <row r="110" spans="1:9" x14ac:dyDescent="0.2">
      <c r="A110" s="10">
        <v>20395</v>
      </c>
      <c r="B110" s="11">
        <v>42564</v>
      </c>
      <c r="C110" s="12">
        <v>15</v>
      </c>
      <c r="D110" s="12"/>
      <c r="E110" s="13" t="s">
        <v>716</v>
      </c>
      <c r="F110" s="20">
        <f>+C101+C102+C103+108.71</f>
        <v>508.18</v>
      </c>
      <c r="G110" s="20">
        <f>395.43+105.71</f>
        <v>501.14</v>
      </c>
      <c r="H110" s="114"/>
      <c r="I110" s="10"/>
    </row>
    <row r="111" spans="1:9" x14ac:dyDescent="0.2">
      <c r="A111" s="10">
        <v>20396</v>
      </c>
      <c r="B111" s="11">
        <v>42565</v>
      </c>
      <c r="C111" s="12">
        <v>200</v>
      </c>
      <c r="D111" s="12">
        <v>15.24</v>
      </c>
      <c r="E111" s="15" t="s">
        <v>11</v>
      </c>
      <c r="H111" s="10"/>
      <c r="I111" s="10"/>
    </row>
    <row r="112" spans="1:9" x14ac:dyDescent="0.2">
      <c r="A112" s="10">
        <v>20397</v>
      </c>
      <c r="B112" s="11">
        <v>42565</v>
      </c>
      <c r="C112" s="12">
        <v>130.44</v>
      </c>
      <c r="D112" s="12">
        <v>9.94</v>
      </c>
      <c r="E112" s="15" t="s">
        <v>11</v>
      </c>
      <c r="H112" s="10"/>
      <c r="I112" s="10"/>
    </row>
    <row r="113" spans="1:9" x14ac:dyDescent="0.2">
      <c r="A113" s="10">
        <v>20398</v>
      </c>
      <c r="B113" s="11">
        <v>42565</v>
      </c>
      <c r="C113" s="12">
        <v>227.87</v>
      </c>
      <c r="D113" s="12">
        <v>17.37</v>
      </c>
      <c r="E113" s="15" t="s">
        <v>21</v>
      </c>
      <c r="F113" s="21"/>
      <c r="G113" s="22"/>
      <c r="H113" s="10"/>
      <c r="I113" s="10"/>
    </row>
    <row r="114" spans="1:9" x14ac:dyDescent="0.2">
      <c r="A114" s="10">
        <v>20399</v>
      </c>
      <c r="B114" s="11">
        <v>42565</v>
      </c>
      <c r="C114" s="12">
        <v>74.69</v>
      </c>
      <c r="D114" s="12">
        <v>5.69</v>
      </c>
      <c r="E114" s="15" t="s">
        <v>11</v>
      </c>
      <c r="F114" s="21"/>
      <c r="G114" s="22"/>
      <c r="H114" s="10"/>
      <c r="I114" s="10"/>
    </row>
    <row r="115" spans="1:9" x14ac:dyDescent="0.2">
      <c r="A115" s="10">
        <v>20400</v>
      </c>
      <c r="B115" s="11">
        <v>42565</v>
      </c>
      <c r="C115" s="12">
        <v>195.00154999999998</v>
      </c>
      <c r="D115" s="12">
        <v>14.861549999999999</v>
      </c>
      <c r="E115" s="17"/>
      <c r="H115" s="12"/>
      <c r="I115" s="10"/>
    </row>
    <row r="116" spans="1:9" x14ac:dyDescent="0.2">
      <c r="A116" s="10">
        <v>20401</v>
      </c>
      <c r="B116" s="11">
        <v>42565</v>
      </c>
      <c r="C116" s="12">
        <v>502.28</v>
      </c>
      <c r="D116" s="12">
        <v>38.28</v>
      </c>
      <c r="E116" s="15" t="s">
        <v>11</v>
      </c>
      <c r="H116" s="10"/>
      <c r="I116" s="10"/>
    </row>
    <row r="117" spans="1:9" x14ac:dyDescent="0.2">
      <c r="A117" s="10">
        <v>20402</v>
      </c>
      <c r="B117" s="11">
        <v>42565</v>
      </c>
      <c r="C117" s="12">
        <v>331.79</v>
      </c>
      <c r="D117" s="12">
        <v>25.29</v>
      </c>
      <c r="E117" s="15" t="s">
        <v>523</v>
      </c>
      <c r="H117" s="10"/>
      <c r="I117" s="10"/>
    </row>
    <row r="118" spans="1:9" x14ac:dyDescent="0.2">
      <c r="A118" s="10">
        <v>20403</v>
      </c>
      <c r="B118" s="11">
        <v>42565</v>
      </c>
      <c r="C118" s="12">
        <v>23.82</v>
      </c>
      <c r="D118" s="12">
        <v>1.82</v>
      </c>
      <c r="E118" s="15" t="s">
        <v>7</v>
      </c>
      <c r="F118" s="21"/>
      <c r="G118" s="22"/>
      <c r="H118" s="10"/>
      <c r="I118" s="10"/>
    </row>
    <row r="119" spans="1:9" x14ac:dyDescent="0.2">
      <c r="A119" s="10">
        <v>20404</v>
      </c>
      <c r="B119" s="11">
        <v>42565</v>
      </c>
      <c r="C119" s="12">
        <v>7.58</v>
      </c>
      <c r="D119" s="12">
        <v>0.57999999999999996</v>
      </c>
      <c r="E119" s="15" t="s">
        <v>11</v>
      </c>
      <c r="F119" s="21"/>
      <c r="G119" s="22"/>
      <c r="H119" s="10"/>
      <c r="I119" s="10"/>
    </row>
    <row r="120" spans="1:9" x14ac:dyDescent="0.2">
      <c r="A120" s="10">
        <v>20405</v>
      </c>
      <c r="B120" s="11">
        <v>42565</v>
      </c>
      <c r="C120" s="12">
        <v>231.66</v>
      </c>
      <c r="D120" s="12">
        <v>17.66</v>
      </c>
      <c r="E120" s="13" t="s">
        <v>717</v>
      </c>
      <c r="F120" s="20">
        <f>+C111+C112+C114+400+C117+C118+C119</f>
        <v>1168.32</v>
      </c>
      <c r="G120" s="20">
        <v>1156.07</v>
      </c>
      <c r="H120" s="12"/>
      <c r="I120" s="10"/>
    </row>
    <row r="121" spans="1:9" x14ac:dyDescent="0.2">
      <c r="A121" s="10">
        <v>20406</v>
      </c>
      <c r="B121" s="11">
        <v>42566</v>
      </c>
      <c r="C121" s="12">
        <v>245</v>
      </c>
      <c r="D121" s="12">
        <v>18.670000000000002</v>
      </c>
      <c r="E121" s="15" t="s">
        <v>21</v>
      </c>
      <c r="H121" s="10"/>
      <c r="I121" s="10"/>
    </row>
    <row r="122" spans="1:9" x14ac:dyDescent="0.2">
      <c r="A122" s="10">
        <v>20407</v>
      </c>
      <c r="B122" s="11">
        <v>42566</v>
      </c>
      <c r="C122" s="12">
        <v>46.5</v>
      </c>
      <c r="D122" s="12"/>
      <c r="E122" s="15" t="s">
        <v>25</v>
      </c>
      <c r="F122" s="21"/>
      <c r="G122" s="22"/>
      <c r="H122" s="10"/>
      <c r="I122" s="10"/>
    </row>
    <row r="123" spans="1:9" x14ac:dyDescent="0.2">
      <c r="A123" s="10">
        <v>20408</v>
      </c>
      <c r="B123" s="11">
        <v>42566</v>
      </c>
      <c r="C123" s="12">
        <v>18</v>
      </c>
      <c r="D123" s="12">
        <v>1.37</v>
      </c>
      <c r="E123" s="15" t="s">
        <v>11</v>
      </c>
      <c r="F123" s="21"/>
      <c r="G123" s="22"/>
      <c r="H123" s="10"/>
      <c r="I123" s="10"/>
    </row>
    <row r="124" spans="1:9" x14ac:dyDescent="0.2">
      <c r="A124" s="10">
        <v>20409</v>
      </c>
      <c r="B124" s="11">
        <v>42566</v>
      </c>
      <c r="C124" s="12">
        <v>5.36</v>
      </c>
      <c r="D124" s="12">
        <v>0.41</v>
      </c>
      <c r="E124" s="17"/>
      <c r="F124" s="18"/>
      <c r="G124" s="19"/>
      <c r="H124" s="12"/>
      <c r="I124" s="10"/>
    </row>
    <row r="125" spans="1:9" x14ac:dyDescent="0.2">
      <c r="A125" s="10">
        <v>20410</v>
      </c>
      <c r="B125" s="11">
        <v>42566</v>
      </c>
      <c r="C125" s="12">
        <v>2.5</v>
      </c>
      <c r="D125" s="12">
        <v>0.19</v>
      </c>
      <c r="E125" s="17"/>
      <c r="F125" s="18"/>
      <c r="G125" s="19"/>
      <c r="H125" s="12"/>
      <c r="I125" s="10"/>
    </row>
    <row r="126" spans="1:9" x14ac:dyDescent="0.2">
      <c r="A126" s="10">
        <v>20411</v>
      </c>
      <c r="B126" s="11">
        <v>42566</v>
      </c>
      <c r="C126" s="12">
        <v>49.15</v>
      </c>
      <c r="D126" s="12">
        <v>3.75</v>
      </c>
      <c r="E126" s="17"/>
      <c r="F126" s="18"/>
      <c r="G126" s="19"/>
      <c r="H126" s="12"/>
      <c r="I126" s="10"/>
    </row>
    <row r="127" spans="1:9" x14ac:dyDescent="0.2">
      <c r="A127" s="10">
        <v>20412</v>
      </c>
      <c r="B127" s="11">
        <v>42566</v>
      </c>
      <c r="C127" s="12">
        <v>214.88</v>
      </c>
      <c r="D127" s="12">
        <v>16.38</v>
      </c>
      <c r="E127" s="17"/>
      <c r="H127" s="12"/>
      <c r="I127" s="10"/>
    </row>
    <row r="128" spans="1:9" x14ac:dyDescent="0.2">
      <c r="A128" s="10">
        <v>20413</v>
      </c>
      <c r="B128" s="11">
        <v>42566</v>
      </c>
      <c r="C128" s="12">
        <v>95.5</v>
      </c>
      <c r="D128" s="12"/>
      <c r="E128" s="15" t="s">
        <v>229</v>
      </c>
      <c r="F128" s="21"/>
      <c r="G128" s="22"/>
      <c r="H128" s="10"/>
      <c r="I128" s="10"/>
    </row>
    <row r="129" spans="1:9" x14ac:dyDescent="0.2">
      <c r="A129" s="10">
        <v>20414</v>
      </c>
      <c r="B129" s="11">
        <v>42566</v>
      </c>
      <c r="C129" s="12">
        <v>16.670000000000002</v>
      </c>
      <c r="D129" s="12">
        <v>1.27</v>
      </c>
      <c r="E129" s="13"/>
      <c r="F129" s="18"/>
      <c r="G129" s="19"/>
      <c r="H129" s="12"/>
      <c r="I129" s="10"/>
    </row>
    <row r="130" spans="1:9" x14ac:dyDescent="0.2">
      <c r="A130" s="10">
        <v>20415</v>
      </c>
      <c r="B130" s="11">
        <v>42566</v>
      </c>
      <c r="C130" s="12">
        <v>17.209999999999997</v>
      </c>
      <c r="D130" s="12">
        <v>1.31</v>
      </c>
      <c r="E130" s="15" t="s">
        <v>11</v>
      </c>
      <c r="H130" s="10"/>
      <c r="I130" s="10"/>
    </row>
    <row r="131" spans="1:9" x14ac:dyDescent="0.2">
      <c r="A131" s="10">
        <v>20416</v>
      </c>
      <c r="B131" s="11">
        <v>42566</v>
      </c>
      <c r="C131" s="12">
        <v>544</v>
      </c>
      <c r="D131" s="12">
        <v>41.46</v>
      </c>
      <c r="E131" s="17"/>
      <c r="F131" s="18"/>
      <c r="G131" s="19"/>
      <c r="H131" s="12"/>
      <c r="I131" s="10"/>
    </row>
    <row r="132" spans="1:9" x14ac:dyDescent="0.2">
      <c r="A132" s="10">
        <v>20417</v>
      </c>
      <c r="B132" s="11">
        <v>42566</v>
      </c>
      <c r="C132" s="12">
        <v>-8.31</v>
      </c>
      <c r="D132" s="12">
        <v>-0.63</v>
      </c>
      <c r="E132" s="15" t="s">
        <v>11</v>
      </c>
      <c r="F132" s="21"/>
      <c r="G132" s="22"/>
      <c r="H132" s="10"/>
      <c r="I132" s="10"/>
    </row>
    <row r="133" spans="1:9" x14ac:dyDescent="0.2">
      <c r="A133" s="10">
        <v>20418</v>
      </c>
      <c r="B133" s="11">
        <v>42566</v>
      </c>
      <c r="C133" s="12">
        <v>53.04</v>
      </c>
      <c r="D133" s="12">
        <v>4.04</v>
      </c>
      <c r="E133" s="15" t="s">
        <v>11</v>
      </c>
      <c r="H133" s="10"/>
      <c r="I133" s="10"/>
    </row>
    <row r="134" spans="1:9" x14ac:dyDescent="0.2">
      <c r="A134" s="10">
        <v>20419</v>
      </c>
      <c r="B134" s="11">
        <v>42566</v>
      </c>
      <c r="C134" s="12">
        <v>155</v>
      </c>
      <c r="D134" s="12">
        <v>11.81</v>
      </c>
      <c r="E134" s="17"/>
      <c r="F134" s="20">
        <f>+C123+C130+C132+C133</f>
        <v>79.94</v>
      </c>
      <c r="G134" s="20">
        <v>78.62</v>
      </c>
      <c r="H134" s="12"/>
      <c r="I134" s="10"/>
    </row>
    <row r="135" spans="1:9" x14ac:dyDescent="0.2">
      <c r="A135" s="10">
        <v>20420</v>
      </c>
      <c r="B135" s="11">
        <v>42567</v>
      </c>
      <c r="C135" s="12">
        <v>60</v>
      </c>
      <c r="D135" s="12">
        <v>4.57</v>
      </c>
      <c r="E135" s="17"/>
      <c r="F135" s="18"/>
      <c r="G135" s="19"/>
      <c r="H135" s="12"/>
      <c r="I135" s="10"/>
    </row>
    <row r="136" spans="1:9" x14ac:dyDescent="0.2">
      <c r="A136" s="10">
        <v>20421</v>
      </c>
      <c r="B136" s="11">
        <v>42567</v>
      </c>
      <c r="C136" s="12">
        <v>80.11</v>
      </c>
      <c r="D136" s="12">
        <v>6.11</v>
      </c>
      <c r="E136" s="17"/>
      <c r="F136" s="18"/>
      <c r="G136" s="19"/>
      <c r="H136" s="12"/>
      <c r="I136" s="10"/>
    </row>
    <row r="137" spans="1:9" x14ac:dyDescent="0.2">
      <c r="A137" s="10">
        <v>20422</v>
      </c>
      <c r="B137" s="11">
        <v>42567</v>
      </c>
      <c r="C137" s="12">
        <v>547.75</v>
      </c>
      <c r="D137" s="12">
        <v>41.75</v>
      </c>
      <c r="E137" s="15" t="s">
        <v>11</v>
      </c>
      <c r="F137" s="21"/>
      <c r="G137" s="22"/>
      <c r="H137" s="10"/>
      <c r="I137" s="10"/>
    </row>
    <row r="138" spans="1:9" x14ac:dyDescent="0.2">
      <c r="A138" s="10">
        <v>20423</v>
      </c>
      <c r="B138" s="11">
        <v>42567</v>
      </c>
      <c r="C138" s="12">
        <v>14.61</v>
      </c>
      <c r="D138" s="12">
        <v>1.1100000000000001</v>
      </c>
      <c r="E138" s="17"/>
      <c r="F138" s="18"/>
      <c r="G138" s="19"/>
      <c r="H138" s="12"/>
      <c r="I138" s="10"/>
    </row>
    <row r="139" spans="1:9" x14ac:dyDescent="0.2">
      <c r="A139" s="10">
        <v>20424</v>
      </c>
      <c r="B139" s="11">
        <v>42567</v>
      </c>
      <c r="C139" s="12">
        <v>190.52</v>
      </c>
      <c r="D139" s="12">
        <v>14.52</v>
      </c>
      <c r="E139" s="15" t="s">
        <v>533</v>
      </c>
      <c r="F139" s="21"/>
      <c r="G139" s="22"/>
      <c r="H139" s="10"/>
      <c r="I139" s="10"/>
    </row>
    <row r="140" spans="1:9" x14ac:dyDescent="0.2">
      <c r="A140" s="10">
        <v>20425</v>
      </c>
      <c r="B140" s="11">
        <v>42567</v>
      </c>
      <c r="C140" s="12">
        <v>128.82</v>
      </c>
      <c r="D140" s="12">
        <v>9.82</v>
      </c>
      <c r="E140" s="15" t="s">
        <v>21</v>
      </c>
      <c r="F140" s="21"/>
      <c r="G140" s="22"/>
      <c r="H140" s="10"/>
      <c r="I140" s="10"/>
    </row>
    <row r="141" spans="1:9" x14ac:dyDescent="0.2">
      <c r="A141" s="10">
        <v>20426</v>
      </c>
      <c r="B141" s="11">
        <v>42567</v>
      </c>
      <c r="C141" s="12">
        <v>25</v>
      </c>
      <c r="D141" s="12">
        <v>1.91</v>
      </c>
      <c r="E141" s="17"/>
      <c r="F141" s="18"/>
      <c r="G141" s="19"/>
      <c r="H141" s="12"/>
      <c r="I141" s="10"/>
    </row>
    <row r="142" spans="1:9" x14ac:dyDescent="0.2">
      <c r="A142" s="10">
        <v>20427</v>
      </c>
      <c r="B142" s="11">
        <v>42567</v>
      </c>
      <c r="C142" s="12">
        <v>32</v>
      </c>
      <c r="D142" s="12"/>
      <c r="E142" s="15" t="s">
        <v>229</v>
      </c>
      <c r="F142" s="21"/>
      <c r="G142" s="22"/>
      <c r="H142" s="10"/>
      <c r="I142" s="10"/>
    </row>
    <row r="143" spans="1:9" x14ac:dyDescent="0.2">
      <c r="A143" s="10">
        <v>20428</v>
      </c>
      <c r="B143" s="11">
        <v>42567</v>
      </c>
      <c r="C143" s="12">
        <v>17.27</v>
      </c>
      <c r="D143" s="12">
        <v>1.32</v>
      </c>
      <c r="E143" s="15" t="s">
        <v>11</v>
      </c>
      <c r="F143" s="21"/>
      <c r="G143" s="22"/>
      <c r="H143" s="10"/>
      <c r="I143" s="10"/>
    </row>
    <row r="144" spans="1:9" x14ac:dyDescent="0.2">
      <c r="A144" s="10">
        <v>20429</v>
      </c>
      <c r="B144" s="11">
        <v>42567</v>
      </c>
      <c r="C144" s="12">
        <v>1.5</v>
      </c>
      <c r="D144" s="12">
        <v>0.12</v>
      </c>
      <c r="E144" s="13"/>
      <c r="F144" s="18"/>
      <c r="G144" s="19"/>
      <c r="H144" s="12"/>
      <c r="I144" s="10"/>
    </row>
    <row r="145" spans="1:9" x14ac:dyDescent="0.2">
      <c r="A145" s="10">
        <v>20430</v>
      </c>
      <c r="B145" s="11">
        <v>42567</v>
      </c>
      <c r="C145" s="12">
        <v>49.8</v>
      </c>
      <c r="D145" s="12">
        <v>3.8</v>
      </c>
      <c r="E145" s="15" t="s">
        <v>11</v>
      </c>
      <c r="I145" s="10"/>
    </row>
    <row r="146" spans="1:9" x14ac:dyDescent="0.2">
      <c r="A146" s="10">
        <v>20431</v>
      </c>
      <c r="B146" s="11">
        <v>42567</v>
      </c>
      <c r="C146" s="12">
        <v>67.11</v>
      </c>
      <c r="D146" s="12">
        <v>5.1100000000000003</v>
      </c>
      <c r="E146" s="15" t="s">
        <v>11</v>
      </c>
      <c r="I146" s="10"/>
    </row>
    <row r="147" spans="1:9" x14ac:dyDescent="0.2">
      <c r="A147" s="10">
        <v>20432</v>
      </c>
      <c r="B147" s="11">
        <v>42567</v>
      </c>
      <c r="C147" s="12">
        <v>70</v>
      </c>
      <c r="D147" s="12">
        <v>5.33</v>
      </c>
      <c r="E147" s="17"/>
      <c r="I147" s="10"/>
    </row>
    <row r="148" spans="1:9" x14ac:dyDescent="0.2">
      <c r="A148" s="10">
        <v>20433</v>
      </c>
      <c r="B148" s="11">
        <v>42567</v>
      </c>
      <c r="C148" s="12">
        <v>133.31</v>
      </c>
      <c r="D148" s="12">
        <v>10.16</v>
      </c>
      <c r="E148" s="15" t="s">
        <v>533</v>
      </c>
      <c r="F148" s="21"/>
      <c r="G148" s="22"/>
      <c r="H148" s="10"/>
      <c r="I148" s="10"/>
    </row>
    <row r="149" spans="1:9" x14ac:dyDescent="0.2">
      <c r="A149" s="10">
        <v>20434</v>
      </c>
      <c r="B149" s="11">
        <v>42567</v>
      </c>
      <c r="C149" s="12">
        <v>41</v>
      </c>
      <c r="D149" s="12"/>
      <c r="E149" s="15" t="s">
        <v>718</v>
      </c>
      <c r="I149" s="10"/>
    </row>
    <row r="150" spans="1:9" x14ac:dyDescent="0.2">
      <c r="A150" s="10">
        <v>20435</v>
      </c>
      <c r="B150" s="11">
        <v>42567</v>
      </c>
      <c r="C150" s="12">
        <v>-150.47</v>
      </c>
      <c r="D150" s="12">
        <v>-11.47</v>
      </c>
      <c r="E150" s="15" t="s">
        <v>11</v>
      </c>
      <c r="F150" s="20">
        <f>+C137+C143+C146+129.83+25+C150+C145+323.83</f>
        <v>1010.1199999999999</v>
      </c>
      <c r="G150" s="20">
        <f>669.73+314.92</f>
        <v>984.65000000000009</v>
      </c>
      <c r="H150" s="114"/>
      <c r="I150" s="10"/>
    </row>
    <row r="151" spans="1:9" x14ac:dyDescent="0.2">
      <c r="A151" s="10">
        <v>20436</v>
      </c>
      <c r="B151" s="11">
        <v>42569</v>
      </c>
      <c r="C151" s="12">
        <v>82.22</v>
      </c>
      <c r="D151" s="12">
        <v>6.27</v>
      </c>
      <c r="E151" s="15" t="s">
        <v>7</v>
      </c>
      <c r="H151" s="10"/>
      <c r="I151" s="10"/>
    </row>
    <row r="152" spans="1:9" x14ac:dyDescent="0.2">
      <c r="A152" s="10">
        <v>20437</v>
      </c>
      <c r="B152" s="11">
        <v>42569</v>
      </c>
      <c r="C152" s="12">
        <v>20</v>
      </c>
      <c r="D152" s="12">
        <v>1.52</v>
      </c>
      <c r="E152" s="15" t="s">
        <v>11</v>
      </c>
      <c r="H152" s="10"/>
      <c r="I152" s="10"/>
    </row>
    <row r="153" spans="1:9" x14ac:dyDescent="0.2">
      <c r="A153" s="10">
        <v>20438</v>
      </c>
      <c r="B153" s="11">
        <v>42569</v>
      </c>
      <c r="C153" s="12">
        <v>14</v>
      </c>
      <c r="D153" s="12">
        <v>1.07</v>
      </c>
      <c r="E153" s="17"/>
      <c r="F153" s="18"/>
      <c r="G153" s="19"/>
      <c r="H153" s="12"/>
      <c r="I153" s="10"/>
    </row>
    <row r="154" spans="1:9" x14ac:dyDescent="0.2">
      <c r="A154" s="10">
        <v>20439</v>
      </c>
      <c r="B154" s="11">
        <v>42569</v>
      </c>
      <c r="C154" s="12">
        <v>553.16</v>
      </c>
      <c r="D154" s="12">
        <v>42.16</v>
      </c>
      <c r="E154" s="15" t="s">
        <v>7</v>
      </c>
      <c r="H154" s="10"/>
      <c r="I154" s="10"/>
    </row>
    <row r="155" spans="1:9" x14ac:dyDescent="0.2">
      <c r="A155" s="10">
        <v>20440</v>
      </c>
      <c r="B155" s="11">
        <v>42569</v>
      </c>
      <c r="C155" s="12">
        <v>199.18</v>
      </c>
      <c r="D155" s="12">
        <v>15.18</v>
      </c>
      <c r="E155" s="15" t="s">
        <v>533</v>
      </c>
      <c r="I155" s="10"/>
    </row>
    <row r="156" spans="1:9" x14ac:dyDescent="0.2">
      <c r="A156" s="10">
        <v>20441</v>
      </c>
      <c r="B156" s="11">
        <v>42569</v>
      </c>
      <c r="C156" s="12">
        <v>28.04</v>
      </c>
      <c r="D156" s="12">
        <v>2.14</v>
      </c>
      <c r="E156" s="15" t="s">
        <v>11</v>
      </c>
      <c r="F156" s="21"/>
      <c r="G156" s="22"/>
      <c r="H156" s="10"/>
      <c r="I156" s="10"/>
    </row>
    <row r="157" spans="1:9" x14ac:dyDescent="0.2">
      <c r="A157" s="10">
        <v>20442</v>
      </c>
      <c r="B157" s="11">
        <v>42569</v>
      </c>
      <c r="C157" s="12">
        <v>40.049999999999997</v>
      </c>
      <c r="D157" s="12">
        <v>3.05</v>
      </c>
      <c r="E157" s="15"/>
      <c r="I157" s="10"/>
    </row>
    <row r="158" spans="1:9" x14ac:dyDescent="0.2">
      <c r="A158" s="10">
        <v>20443</v>
      </c>
      <c r="B158" s="11">
        <v>42569</v>
      </c>
      <c r="C158" s="12">
        <v>134.12</v>
      </c>
      <c r="D158" s="12">
        <v>10.220000000000001</v>
      </c>
      <c r="E158" s="15" t="s">
        <v>7</v>
      </c>
      <c r="F158" s="20">
        <f>+C151+C152+C154+C156+C158+199.18</f>
        <v>1016.72</v>
      </c>
      <c r="G158" s="20">
        <f>800.77+193.7</f>
        <v>994.47</v>
      </c>
      <c r="H158" s="114"/>
      <c r="I158" s="10"/>
    </row>
    <row r="159" spans="1:9" x14ac:dyDescent="0.2">
      <c r="A159" s="10">
        <v>20444</v>
      </c>
      <c r="B159" s="11">
        <v>42570</v>
      </c>
      <c r="C159" s="12">
        <v>117.99</v>
      </c>
      <c r="D159" s="12">
        <v>8.99</v>
      </c>
      <c r="E159" s="15" t="s">
        <v>11</v>
      </c>
      <c r="F159" s="21"/>
      <c r="G159" s="22"/>
      <c r="H159" s="10"/>
      <c r="I159" s="10"/>
    </row>
    <row r="160" spans="1:9" x14ac:dyDescent="0.2">
      <c r="A160" s="10">
        <v>20445</v>
      </c>
      <c r="B160" s="11">
        <v>42570</v>
      </c>
      <c r="C160" s="12">
        <v>72.53</v>
      </c>
      <c r="D160" s="12">
        <v>5.53</v>
      </c>
      <c r="E160" s="15" t="s">
        <v>533</v>
      </c>
      <c r="I160" s="10"/>
    </row>
    <row r="161" spans="1:9" x14ac:dyDescent="0.2">
      <c r="A161" s="10">
        <v>20446</v>
      </c>
      <c r="B161" s="11">
        <v>42570</v>
      </c>
      <c r="C161" s="12">
        <v>50</v>
      </c>
      <c r="D161" s="12">
        <v>3.81</v>
      </c>
      <c r="E161" s="17"/>
      <c r="F161" s="18"/>
      <c r="G161" s="19"/>
      <c r="H161" s="12"/>
      <c r="I161" s="10"/>
    </row>
    <row r="162" spans="1:9" x14ac:dyDescent="0.2">
      <c r="A162" s="10">
        <v>20447</v>
      </c>
      <c r="B162" s="11">
        <v>42570</v>
      </c>
      <c r="C162" s="12">
        <v>27.6</v>
      </c>
      <c r="D162" s="12">
        <v>2.1</v>
      </c>
      <c r="E162" s="17"/>
      <c r="I162" s="10"/>
    </row>
    <row r="163" spans="1:9" x14ac:dyDescent="0.2">
      <c r="A163" s="10">
        <v>20448</v>
      </c>
      <c r="B163" s="11">
        <v>42570</v>
      </c>
      <c r="C163" s="12">
        <v>396.14</v>
      </c>
      <c r="D163" s="12">
        <v>30.19</v>
      </c>
      <c r="E163" s="15" t="s">
        <v>7</v>
      </c>
      <c r="I163" s="10"/>
    </row>
    <row r="164" spans="1:9" x14ac:dyDescent="0.2">
      <c r="A164" s="10">
        <v>20449</v>
      </c>
      <c r="B164" s="11">
        <v>42570</v>
      </c>
      <c r="C164" s="12">
        <v>213</v>
      </c>
      <c r="D164" s="12">
        <v>16.23</v>
      </c>
      <c r="E164" s="17"/>
      <c r="I164" s="10"/>
    </row>
    <row r="165" spans="1:9" x14ac:dyDescent="0.2">
      <c r="A165" s="10">
        <v>20450</v>
      </c>
      <c r="B165" s="11">
        <v>42570</v>
      </c>
      <c r="C165" s="12">
        <v>79</v>
      </c>
      <c r="D165" s="12"/>
      <c r="E165" s="13" t="s">
        <v>427</v>
      </c>
      <c r="I165" s="10"/>
    </row>
    <row r="166" spans="1:9" x14ac:dyDescent="0.2">
      <c r="A166" s="10">
        <v>20451</v>
      </c>
      <c r="B166" s="11">
        <v>42570</v>
      </c>
      <c r="C166" s="12">
        <v>121.24</v>
      </c>
      <c r="D166" s="12">
        <v>9.24</v>
      </c>
      <c r="E166" s="17"/>
      <c r="F166" s="20">
        <f>+C159+C163+72.53</f>
        <v>586.66</v>
      </c>
      <c r="G166" s="20">
        <f>505.05+70.54</f>
        <v>575.59</v>
      </c>
      <c r="H166" s="114"/>
      <c r="I166" s="10"/>
    </row>
    <row r="167" spans="1:9" x14ac:dyDescent="0.2">
      <c r="A167" s="10">
        <v>20452</v>
      </c>
      <c r="B167" s="11">
        <v>42571</v>
      </c>
      <c r="C167" s="12">
        <v>41.080000000000005</v>
      </c>
      <c r="D167" s="12">
        <v>3.13</v>
      </c>
      <c r="E167" s="17"/>
      <c r="F167" s="18"/>
      <c r="G167" s="19"/>
      <c r="H167" s="12"/>
      <c r="I167" s="10"/>
    </row>
    <row r="168" spans="1:9" x14ac:dyDescent="0.2">
      <c r="A168" s="10">
        <v>20453</v>
      </c>
      <c r="B168" s="11">
        <v>42571</v>
      </c>
      <c r="C168" s="12">
        <v>26.85</v>
      </c>
      <c r="D168" s="12">
        <v>2.0499999999999998</v>
      </c>
      <c r="E168" s="15" t="s">
        <v>11</v>
      </c>
      <c r="F168" s="21"/>
      <c r="G168" s="22"/>
      <c r="H168" s="10"/>
      <c r="I168" s="10"/>
    </row>
    <row r="169" spans="1:9" x14ac:dyDescent="0.2">
      <c r="A169" s="10">
        <v>20454</v>
      </c>
      <c r="B169" s="11">
        <v>42571</v>
      </c>
      <c r="C169" s="12">
        <v>32.42</v>
      </c>
      <c r="D169" s="12">
        <v>2.4700000000000002</v>
      </c>
      <c r="E169" s="15" t="s">
        <v>7</v>
      </c>
      <c r="F169" s="230" t="s">
        <v>719</v>
      </c>
      <c r="G169" s="22"/>
      <c r="H169" s="10"/>
      <c r="I169" s="10"/>
    </row>
    <row r="170" spans="1:9" x14ac:dyDescent="0.2">
      <c r="A170" s="10">
        <v>20455</v>
      </c>
      <c r="B170" s="11">
        <v>42571</v>
      </c>
      <c r="C170" s="12">
        <v>293.36</v>
      </c>
      <c r="D170" s="12">
        <v>22.36</v>
      </c>
      <c r="E170" s="15" t="s">
        <v>11</v>
      </c>
      <c r="H170" s="10"/>
      <c r="I170" s="10"/>
    </row>
    <row r="171" spans="1:9" x14ac:dyDescent="0.2">
      <c r="A171" s="10">
        <v>20456</v>
      </c>
      <c r="B171" s="11">
        <v>42571</v>
      </c>
      <c r="C171" s="12">
        <v>162.4</v>
      </c>
      <c r="D171" s="12"/>
      <c r="E171" s="15" t="s">
        <v>229</v>
      </c>
      <c r="H171" s="10"/>
      <c r="I171" s="10"/>
    </row>
    <row r="172" spans="1:9" x14ac:dyDescent="0.2">
      <c r="A172" s="10">
        <v>20457</v>
      </c>
      <c r="B172" s="11">
        <v>42571</v>
      </c>
      <c r="C172" s="12">
        <v>151.55000000000001</v>
      </c>
      <c r="D172" s="12">
        <v>11.55</v>
      </c>
      <c r="E172" s="15" t="s">
        <v>7</v>
      </c>
      <c r="F172" s="21"/>
      <c r="G172" s="22"/>
      <c r="H172" s="10"/>
      <c r="I172" s="10"/>
    </row>
    <row r="173" spans="1:9" x14ac:dyDescent="0.2">
      <c r="A173" s="10">
        <v>20458</v>
      </c>
      <c r="B173" s="11">
        <v>42571</v>
      </c>
      <c r="C173" s="12">
        <v>213.25</v>
      </c>
      <c r="D173" s="12">
        <v>16.25</v>
      </c>
      <c r="E173" s="15" t="s">
        <v>533</v>
      </c>
      <c r="I173" s="10"/>
    </row>
    <row r="174" spans="1:9" x14ac:dyDescent="0.2">
      <c r="A174" s="10">
        <v>20459</v>
      </c>
      <c r="B174" s="11">
        <v>42571</v>
      </c>
      <c r="C174" s="12">
        <v>21.65</v>
      </c>
      <c r="D174" s="12">
        <v>1.65</v>
      </c>
      <c r="E174" s="15" t="s">
        <v>11</v>
      </c>
      <c r="F174" s="20">
        <f>+C168+C169+C170-32.42+213.25</f>
        <v>533.46</v>
      </c>
      <c r="G174" s="20">
        <f>318.48+207.39</f>
        <v>525.87</v>
      </c>
      <c r="H174" s="114"/>
      <c r="I174" s="10"/>
    </row>
    <row r="175" spans="1:9" x14ac:dyDescent="0.2">
      <c r="A175" s="10">
        <v>20460</v>
      </c>
      <c r="B175" s="11">
        <v>42572</v>
      </c>
      <c r="C175" s="12">
        <v>80.11</v>
      </c>
      <c r="D175" s="12">
        <v>6.11</v>
      </c>
      <c r="E175" s="15" t="s">
        <v>533</v>
      </c>
      <c r="F175" s="21"/>
      <c r="G175" s="22"/>
      <c r="H175" s="10"/>
      <c r="I175" s="10"/>
    </row>
    <row r="176" spans="1:9" x14ac:dyDescent="0.2">
      <c r="A176" s="10">
        <v>20461</v>
      </c>
      <c r="B176" s="11">
        <v>42572</v>
      </c>
      <c r="C176" s="12">
        <v>6.44</v>
      </c>
      <c r="D176" s="12">
        <v>0.49</v>
      </c>
      <c r="E176" s="15" t="s">
        <v>11</v>
      </c>
      <c r="F176" s="21"/>
      <c r="G176" s="22"/>
      <c r="H176" s="10"/>
      <c r="I176" s="10"/>
    </row>
    <row r="177" spans="1:9" x14ac:dyDescent="0.2">
      <c r="A177" s="10">
        <v>20462</v>
      </c>
      <c r="B177" s="11">
        <v>42572</v>
      </c>
      <c r="C177" s="12">
        <v>450</v>
      </c>
      <c r="D177" s="12">
        <v>34.299999999999997</v>
      </c>
      <c r="E177" s="13" t="s">
        <v>720</v>
      </c>
      <c r="F177" s="18"/>
      <c r="G177" s="19"/>
      <c r="H177" s="12"/>
      <c r="I177" s="10"/>
    </row>
    <row r="178" spans="1:9" x14ac:dyDescent="0.2">
      <c r="A178" s="10">
        <v>20463</v>
      </c>
      <c r="B178" s="11">
        <v>42572</v>
      </c>
      <c r="C178" s="12">
        <v>27.06</v>
      </c>
      <c r="D178" s="12">
        <v>2.06</v>
      </c>
      <c r="E178" s="15" t="s">
        <v>7</v>
      </c>
      <c r="F178" s="21"/>
      <c r="G178" s="22"/>
      <c r="H178" s="10"/>
      <c r="I178" s="10"/>
    </row>
    <row r="179" spans="1:9" x14ac:dyDescent="0.2">
      <c r="A179" s="10">
        <v>20464</v>
      </c>
      <c r="B179" s="11">
        <v>42572</v>
      </c>
      <c r="C179" s="12">
        <v>10.83</v>
      </c>
      <c r="D179" s="12">
        <v>0.83</v>
      </c>
      <c r="E179" s="13"/>
      <c r="I179" s="10"/>
    </row>
    <row r="180" spans="1:9" x14ac:dyDescent="0.2">
      <c r="A180" s="10">
        <v>20465</v>
      </c>
      <c r="B180" s="11">
        <v>42572</v>
      </c>
      <c r="C180" s="12">
        <v>5.41</v>
      </c>
      <c r="D180" s="12">
        <v>0.41</v>
      </c>
      <c r="E180" s="17"/>
      <c r="F180" s="20">
        <f>+C176+C178+C172+80.11</f>
        <v>265.16000000000003</v>
      </c>
      <c r="G180" s="20">
        <f>182.02+77.91</f>
        <v>259.93</v>
      </c>
      <c r="H180" s="114"/>
      <c r="I180" s="10"/>
    </row>
    <row r="181" spans="1:9" x14ac:dyDescent="0.2">
      <c r="A181" s="10">
        <v>20466</v>
      </c>
      <c r="B181" s="11">
        <v>42573</v>
      </c>
      <c r="C181" s="12">
        <v>649.5</v>
      </c>
      <c r="D181" s="12">
        <v>49.5</v>
      </c>
      <c r="E181" s="15" t="s">
        <v>7</v>
      </c>
      <c r="H181" s="10"/>
      <c r="I181" s="10"/>
    </row>
    <row r="182" spans="1:9" x14ac:dyDescent="0.2">
      <c r="A182" s="10">
        <v>20467</v>
      </c>
      <c r="B182" s="11">
        <v>42573</v>
      </c>
      <c r="C182" s="12">
        <v>67</v>
      </c>
      <c r="D182" s="12"/>
      <c r="E182" s="13" t="s">
        <v>427</v>
      </c>
      <c r="F182" s="18"/>
      <c r="G182" s="19"/>
      <c r="H182" s="12"/>
      <c r="I182" s="10"/>
    </row>
    <row r="183" spans="1:9" x14ac:dyDescent="0.2">
      <c r="A183" s="10">
        <v>20468</v>
      </c>
      <c r="B183" s="11">
        <v>42573</v>
      </c>
      <c r="C183" s="12">
        <v>156.96</v>
      </c>
      <c r="D183" s="12">
        <v>11.96</v>
      </c>
      <c r="E183" s="15" t="s">
        <v>533</v>
      </c>
      <c r="I183" s="10"/>
    </row>
    <row r="184" spans="1:9" x14ac:dyDescent="0.2">
      <c r="A184" s="10">
        <v>20469</v>
      </c>
      <c r="B184" s="11">
        <v>42573</v>
      </c>
      <c r="C184" s="12">
        <v>219</v>
      </c>
      <c r="D184" s="12">
        <v>16.690000000000001</v>
      </c>
      <c r="E184" s="15"/>
      <c r="I184" s="10"/>
    </row>
    <row r="185" spans="1:9" x14ac:dyDescent="0.2">
      <c r="A185" s="10">
        <v>20470</v>
      </c>
      <c r="B185" s="11">
        <v>42573</v>
      </c>
      <c r="C185" s="12">
        <v>120</v>
      </c>
      <c r="D185" s="12"/>
      <c r="E185" s="15" t="s">
        <v>25</v>
      </c>
      <c r="I185" s="10"/>
    </row>
    <row r="186" spans="1:9" x14ac:dyDescent="0.2">
      <c r="A186" s="10">
        <v>20471</v>
      </c>
      <c r="B186" s="11">
        <v>42573</v>
      </c>
      <c r="C186" s="12">
        <v>569.48</v>
      </c>
      <c r="D186" s="12"/>
      <c r="E186" s="15" t="s">
        <v>229</v>
      </c>
      <c r="F186" s="20">
        <f>+C181+C174+200+78.48</f>
        <v>949.63</v>
      </c>
      <c r="G186" s="20">
        <f>861.12+76.32</f>
        <v>937.44</v>
      </c>
      <c r="H186" s="114"/>
      <c r="I186" s="10"/>
    </row>
    <row r="187" spans="1:9" x14ac:dyDescent="0.2">
      <c r="A187" s="10">
        <v>20472</v>
      </c>
      <c r="B187" s="11">
        <v>42574</v>
      </c>
      <c r="C187" s="12">
        <v>30.31</v>
      </c>
      <c r="D187" s="12">
        <v>2.31</v>
      </c>
      <c r="E187" s="15" t="s">
        <v>533</v>
      </c>
      <c r="F187" s="115"/>
      <c r="G187" s="115"/>
      <c r="I187" s="10"/>
    </row>
    <row r="188" spans="1:9" x14ac:dyDescent="0.2">
      <c r="A188" s="10">
        <v>20473</v>
      </c>
      <c r="B188" s="11">
        <v>42574</v>
      </c>
      <c r="C188" s="12">
        <v>92.01</v>
      </c>
      <c r="D188" s="12">
        <v>7.01</v>
      </c>
      <c r="E188" s="15" t="s">
        <v>533</v>
      </c>
      <c r="F188" s="21"/>
      <c r="G188" s="22"/>
      <c r="H188" s="10"/>
      <c r="I188" s="10"/>
    </row>
    <row r="189" spans="1:9" x14ac:dyDescent="0.2">
      <c r="A189" s="10">
        <v>20474</v>
      </c>
      <c r="B189" s="11">
        <v>42574</v>
      </c>
      <c r="C189" s="12">
        <v>8.66</v>
      </c>
      <c r="D189" s="12">
        <v>0.66</v>
      </c>
      <c r="E189" s="15"/>
      <c r="F189" s="21"/>
      <c r="G189" s="22"/>
      <c r="H189" s="10"/>
      <c r="I189" s="10"/>
    </row>
    <row r="190" spans="1:9" x14ac:dyDescent="0.2">
      <c r="A190" s="10">
        <v>20475</v>
      </c>
      <c r="B190" s="11">
        <v>42574</v>
      </c>
      <c r="C190" s="12">
        <v>11.91</v>
      </c>
      <c r="D190" s="12">
        <v>0.91</v>
      </c>
      <c r="E190" s="17"/>
      <c r="F190" s="18"/>
      <c r="G190" s="19"/>
      <c r="H190" s="12"/>
      <c r="I190" s="10"/>
    </row>
    <row r="191" spans="1:9" x14ac:dyDescent="0.2">
      <c r="A191" s="10">
        <v>20476</v>
      </c>
      <c r="B191" s="11">
        <v>42574</v>
      </c>
      <c r="C191" s="12">
        <v>43.3</v>
      </c>
      <c r="D191" s="12">
        <v>3.3</v>
      </c>
      <c r="E191" s="13" t="s">
        <v>721</v>
      </c>
      <c r="I191" s="10"/>
    </row>
    <row r="192" spans="1:9" x14ac:dyDescent="0.2">
      <c r="A192" s="10">
        <v>20477</v>
      </c>
      <c r="B192" s="11">
        <v>42574</v>
      </c>
      <c r="C192" s="12">
        <v>180</v>
      </c>
      <c r="D192" s="12">
        <v>13.72</v>
      </c>
      <c r="E192" s="17"/>
      <c r="I192" s="10"/>
    </row>
    <row r="193" spans="1:9" x14ac:dyDescent="0.2">
      <c r="A193" s="10">
        <v>20478</v>
      </c>
      <c r="B193" s="11">
        <v>42574</v>
      </c>
      <c r="C193" s="12">
        <v>114.75</v>
      </c>
      <c r="D193" s="12">
        <v>8.75</v>
      </c>
      <c r="E193" s="17"/>
      <c r="F193" s="18"/>
      <c r="G193" s="19"/>
      <c r="H193" s="12"/>
      <c r="I193" s="10"/>
    </row>
    <row r="194" spans="1:9" x14ac:dyDescent="0.2">
      <c r="A194" s="10">
        <v>20479</v>
      </c>
      <c r="B194" s="11">
        <v>42574</v>
      </c>
      <c r="C194" s="12">
        <v>38.75</v>
      </c>
      <c r="D194" s="12">
        <v>2.95</v>
      </c>
      <c r="E194" s="15" t="s">
        <v>533</v>
      </c>
      <c r="I194" s="10"/>
    </row>
    <row r="195" spans="1:9" x14ac:dyDescent="0.2">
      <c r="A195" s="10">
        <v>20480</v>
      </c>
      <c r="B195" s="11">
        <v>42574</v>
      </c>
      <c r="C195" s="12">
        <v>50</v>
      </c>
      <c r="D195" s="12">
        <v>3.81</v>
      </c>
      <c r="E195" s="17"/>
      <c r="I195" s="10"/>
    </row>
    <row r="196" spans="1:9" x14ac:dyDescent="0.2">
      <c r="A196" s="10">
        <v>20481</v>
      </c>
      <c r="B196" s="11">
        <v>42574</v>
      </c>
      <c r="C196" s="12">
        <v>244.00000000000003</v>
      </c>
      <c r="D196" s="12">
        <v>55.52</v>
      </c>
      <c r="E196" s="17"/>
      <c r="F196" s="18"/>
      <c r="G196" s="19"/>
      <c r="H196" s="12"/>
      <c r="I196" s="10"/>
    </row>
    <row r="197" spans="1:9" x14ac:dyDescent="0.2">
      <c r="A197" s="10">
        <v>20482</v>
      </c>
      <c r="B197" s="11">
        <v>42574</v>
      </c>
      <c r="C197" s="12">
        <v>76</v>
      </c>
      <c r="D197" s="12">
        <v>4.95</v>
      </c>
      <c r="E197" s="17"/>
      <c r="F197" s="20">
        <f>131.66+161.07</f>
        <v>292.73</v>
      </c>
      <c r="G197" s="20">
        <f>129.65+156.64</f>
        <v>286.28999999999996</v>
      </c>
      <c r="H197" s="114"/>
      <c r="I197" s="10"/>
    </row>
    <row r="198" spans="1:9" x14ac:dyDescent="0.2">
      <c r="A198" s="10">
        <v>20483</v>
      </c>
      <c r="B198" s="11">
        <v>42576</v>
      </c>
      <c r="C198" s="12">
        <v>156</v>
      </c>
      <c r="D198" s="12">
        <v>11.89</v>
      </c>
      <c r="E198" s="17"/>
      <c r="H198" s="12"/>
      <c r="I198" s="10"/>
    </row>
    <row r="199" spans="1:9" x14ac:dyDescent="0.2">
      <c r="A199" s="10">
        <v>20484</v>
      </c>
      <c r="B199" s="11">
        <v>42576</v>
      </c>
      <c r="C199" s="12">
        <v>5.41</v>
      </c>
      <c r="D199" s="12">
        <v>0.41</v>
      </c>
      <c r="E199" s="17"/>
      <c r="H199" s="12"/>
      <c r="I199" s="10"/>
    </row>
    <row r="200" spans="1:9" x14ac:dyDescent="0.2">
      <c r="A200" s="10">
        <v>20485</v>
      </c>
      <c r="B200" s="11">
        <v>42576</v>
      </c>
      <c r="C200" s="12">
        <v>24.84</v>
      </c>
      <c r="D200" s="12">
        <v>1.89</v>
      </c>
      <c r="E200" s="15" t="s">
        <v>11</v>
      </c>
      <c r="H200" s="10"/>
      <c r="I200" s="10"/>
    </row>
    <row r="201" spans="1:9" x14ac:dyDescent="0.2">
      <c r="A201" s="10">
        <v>20486</v>
      </c>
      <c r="B201" s="11">
        <v>42576</v>
      </c>
      <c r="C201" s="12">
        <v>14.02</v>
      </c>
      <c r="D201" s="12">
        <v>1.07</v>
      </c>
      <c r="E201" s="17"/>
      <c r="H201" s="12"/>
      <c r="I201" s="10"/>
    </row>
    <row r="202" spans="1:9" x14ac:dyDescent="0.2">
      <c r="A202" s="10">
        <v>20487</v>
      </c>
      <c r="B202" s="11">
        <v>42576</v>
      </c>
      <c r="C202" s="12">
        <v>221.37</v>
      </c>
      <c r="D202" s="12">
        <v>16.87</v>
      </c>
      <c r="E202" s="15" t="s">
        <v>533</v>
      </c>
      <c r="I202" s="10"/>
    </row>
    <row r="203" spans="1:9" x14ac:dyDescent="0.2">
      <c r="A203" s="10">
        <v>20488</v>
      </c>
      <c r="B203" s="11">
        <v>42576</v>
      </c>
      <c r="C203" s="12">
        <v>64.95</v>
      </c>
      <c r="D203" s="12">
        <v>4.95</v>
      </c>
      <c r="E203" s="15"/>
      <c r="I203" s="10"/>
    </row>
    <row r="204" spans="1:9" x14ac:dyDescent="0.2">
      <c r="A204" s="10">
        <v>20489</v>
      </c>
      <c r="B204" s="11">
        <v>42576</v>
      </c>
      <c r="C204" s="12">
        <v>114.75</v>
      </c>
      <c r="D204" s="12">
        <v>8.75</v>
      </c>
      <c r="E204" s="15" t="s">
        <v>7</v>
      </c>
      <c r="I204" s="10"/>
    </row>
    <row r="205" spans="1:9" x14ac:dyDescent="0.2">
      <c r="A205" s="10">
        <v>20490</v>
      </c>
      <c r="B205" s="11">
        <v>42576</v>
      </c>
      <c r="C205" s="12">
        <v>16.239999999999998</v>
      </c>
      <c r="D205" s="12">
        <v>1.24</v>
      </c>
      <c r="E205" s="15" t="s">
        <v>11</v>
      </c>
      <c r="F205" s="21"/>
      <c r="G205" s="22"/>
      <c r="H205" s="10"/>
      <c r="I205" s="10"/>
    </row>
    <row r="206" spans="1:9" x14ac:dyDescent="0.2">
      <c r="A206" s="10">
        <v>20491</v>
      </c>
      <c r="B206" s="11">
        <v>42576</v>
      </c>
      <c r="C206" s="12">
        <v>59.480000000000004</v>
      </c>
      <c r="D206" s="12">
        <v>4.53</v>
      </c>
      <c r="E206" s="15" t="s">
        <v>7</v>
      </c>
      <c r="I206" s="10"/>
    </row>
    <row r="207" spans="1:9" x14ac:dyDescent="0.2">
      <c r="A207" s="10">
        <v>20492</v>
      </c>
      <c r="B207" s="11">
        <v>42576</v>
      </c>
      <c r="C207" s="12">
        <v>27</v>
      </c>
      <c r="D207" s="12">
        <v>2.06</v>
      </c>
      <c r="E207" s="15" t="s">
        <v>11</v>
      </c>
      <c r="I207" s="10"/>
    </row>
    <row r="208" spans="1:9" x14ac:dyDescent="0.2">
      <c r="A208" s="10">
        <v>20493</v>
      </c>
      <c r="B208" s="11">
        <v>42576</v>
      </c>
      <c r="C208" s="12">
        <v>82</v>
      </c>
      <c r="D208" s="12"/>
      <c r="E208" s="13" t="s">
        <v>427</v>
      </c>
      <c r="I208" s="10"/>
    </row>
    <row r="209" spans="1:9" x14ac:dyDescent="0.2">
      <c r="A209" s="10">
        <v>20494</v>
      </c>
      <c r="B209" s="11">
        <v>42576</v>
      </c>
      <c r="C209" s="12">
        <v>114.75</v>
      </c>
      <c r="D209" s="12">
        <v>8.75</v>
      </c>
      <c r="E209" s="17"/>
      <c r="I209" s="10"/>
    </row>
    <row r="210" spans="1:9" x14ac:dyDescent="0.2">
      <c r="A210" s="10">
        <v>20495</v>
      </c>
      <c r="B210" s="11">
        <v>42576</v>
      </c>
      <c r="C210" s="12">
        <v>184.03</v>
      </c>
      <c r="D210" s="12">
        <v>14.03</v>
      </c>
      <c r="E210" s="17"/>
      <c r="F210" s="20">
        <f>+C200+C204+C205+C206+C207+221.37</f>
        <v>463.68</v>
      </c>
      <c r="G210" s="20">
        <f>239.55+215.28</f>
        <v>454.83000000000004</v>
      </c>
      <c r="H210" s="114"/>
      <c r="I210" s="10"/>
    </row>
    <row r="211" spans="1:9" x14ac:dyDescent="0.2">
      <c r="A211" s="10">
        <v>20496</v>
      </c>
      <c r="B211" s="11">
        <v>42577</v>
      </c>
      <c r="C211" s="12">
        <v>14</v>
      </c>
      <c r="D211" s="12">
        <v>1.07</v>
      </c>
      <c r="E211" s="15" t="s">
        <v>7</v>
      </c>
      <c r="F211" s="21"/>
      <c r="G211" s="22"/>
      <c r="H211" s="10"/>
      <c r="I211" s="10"/>
    </row>
    <row r="212" spans="1:9" x14ac:dyDescent="0.2">
      <c r="A212" s="10">
        <v>20497</v>
      </c>
      <c r="B212" s="11">
        <v>42577</v>
      </c>
      <c r="C212" s="12">
        <v>9.74</v>
      </c>
      <c r="D212" s="12">
        <v>0.74</v>
      </c>
      <c r="E212" s="15" t="s">
        <v>7</v>
      </c>
      <c r="H212" s="10"/>
      <c r="I212" s="10"/>
    </row>
    <row r="213" spans="1:9" x14ac:dyDescent="0.2">
      <c r="A213" s="10">
        <v>20498</v>
      </c>
      <c r="B213" s="11">
        <v>42577</v>
      </c>
      <c r="C213" s="12">
        <v>5.41</v>
      </c>
      <c r="D213" s="12">
        <v>0.41</v>
      </c>
      <c r="E213" s="15" t="s">
        <v>11</v>
      </c>
      <c r="F213" s="21"/>
      <c r="G213" s="22"/>
      <c r="H213" s="10"/>
      <c r="I213" s="10"/>
    </row>
    <row r="214" spans="1:9" x14ac:dyDescent="0.2">
      <c r="A214" s="10">
        <v>20499</v>
      </c>
      <c r="B214" s="11">
        <v>42577</v>
      </c>
      <c r="C214" s="12">
        <v>20</v>
      </c>
      <c r="D214" s="12">
        <v>1.52</v>
      </c>
      <c r="E214" s="15" t="s">
        <v>11</v>
      </c>
      <c r="H214" s="10"/>
      <c r="I214" s="10"/>
    </row>
    <row r="215" spans="1:9" x14ac:dyDescent="0.2">
      <c r="A215" s="10">
        <v>20500</v>
      </c>
      <c r="B215" s="11">
        <v>42577</v>
      </c>
      <c r="C215" s="12">
        <v>14</v>
      </c>
      <c r="D215" s="12"/>
      <c r="E215" s="15" t="s">
        <v>7</v>
      </c>
      <c r="F215" s="21"/>
      <c r="G215" s="22"/>
      <c r="H215" s="10"/>
      <c r="I215" s="10"/>
    </row>
    <row r="216" spans="1:9" x14ac:dyDescent="0.2">
      <c r="A216" s="10">
        <v>20501</v>
      </c>
      <c r="B216" s="11">
        <v>42577</v>
      </c>
      <c r="C216" s="12">
        <v>100</v>
      </c>
      <c r="D216" s="12">
        <v>7.62</v>
      </c>
      <c r="E216" s="13"/>
      <c r="F216" s="18"/>
      <c r="G216" s="19"/>
      <c r="H216" s="12"/>
      <c r="I216" s="10"/>
    </row>
    <row r="217" spans="1:9" x14ac:dyDescent="0.2">
      <c r="A217" s="10">
        <v>20502</v>
      </c>
      <c r="B217" s="11">
        <v>42577</v>
      </c>
      <c r="C217" s="12">
        <v>45</v>
      </c>
      <c r="D217" s="12">
        <v>3.43</v>
      </c>
      <c r="E217" s="15" t="s">
        <v>11</v>
      </c>
      <c r="F217" s="21"/>
      <c r="G217" s="22"/>
      <c r="H217" s="10"/>
      <c r="I217" s="10"/>
    </row>
    <row r="218" spans="1:9" x14ac:dyDescent="0.2">
      <c r="A218" s="10">
        <v>20503</v>
      </c>
      <c r="B218" s="11">
        <v>42577</v>
      </c>
      <c r="C218" s="12">
        <v>345.32</v>
      </c>
      <c r="D218" s="12">
        <v>26.32</v>
      </c>
      <c r="E218" s="15" t="s">
        <v>11</v>
      </c>
      <c r="I218" s="10"/>
    </row>
    <row r="219" spans="1:9" x14ac:dyDescent="0.2">
      <c r="A219" s="10">
        <v>20504</v>
      </c>
      <c r="B219" s="11">
        <v>42577</v>
      </c>
      <c r="C219" s="12">
        <v>5.41</v>
      </c>
      <c r="D219" s="12">
        <v>0.41</v>
      </c>
      <c r="E219" s="17"/>
      <c r="I219" s="10"/>
    </row>
    <row r="220" spans="1:9" x14ac:dyDescent="0.2">
      <c r="A220" s="10">
        <v>20505</v>
      </c>
      <c r="B220" s="11">
        <v>42577</v>
      </c>
      <c r="C220" s="12">
        <v>302.10000000000002</v>
      </c>
      <c r="D220" s="12"/>
      <c r="E220" s="15" t="s">
        <v>229</v>
      </c>
      <c r="F220" s="20">
        <f>210.61+C211+C213+C214+C215+C217+C218+78.48</f>
        <v>732.81999999999994</v>
      </c>
      <c r="G220" s="20">
        <f>641.38+76.32</f>
        <v>717.7</v>
      </c>
      <c r="H220" s="114"/>
      <c r="I220" s="10"/>
    </row>
    <row r="221" spans="1:9" x14ac:dyDescent="0.2">
      <c r="A221" s="10">
        <v>20506</v>
      </c>
      <c r="B221" s="11">
        <v>42578</v>
      </c>
      <c r="C221" s="12">
        <v>268.8</v>
      </c>
      <c r="D221" s="12">
        <v>20.49</v>
      </c>
      <c r="E221" s="15" t="s">
        <v>722</v>
      </c>
      <c r="F221" s="21"/>
      <c r="G221" s="22"/>
      <c r="H221" s="10"/>
      <c r="I221" s="10"/>
    </row>
    <row r="222" spans="1:9" x14ac:dyDescent="0.2">
      <c r="A222" s="10">
        <v>20507</v>
      </c>
      <c r="B222" s="11">
        <v>42578</v>
      </c>
      <c r="C222" s="12">
        <v>56.29</v>
      </c>
      <c r="D222" s="12"/>
      <c r="E222" s="15" t="s">
        <v>280</v>
      </c>
      <c r="H222" s="10"/>
      <c r="I222" s="10"/>
    </row>
    <row r="223" spans="1:9" x14ac:dyDescent="0.2">
      <c r="A223" s="10">
        <v>20508</v>
      </c>
      <c r="B223" s="11">
        <v>42578</v>
      </c>
      <c r="C223" s="12">
        <v>71.45</v>
      </c>
      <c r="D223" s="12">
        <v>5.45</v>
      </c>
      <c r="E223" s="15" t="s">
        <v>11</v>
      </c>
      <c r="H223" s="10"/>
      <c r="I223" s="10"/>
    </row>
    <row r="224" spans="1:9" x14ac:dyDescent="0.2">
      <c r="A224" s="10">
        <v>20509</v>
      </c>
      <c r="B224" s="11">
        <v>42578</v>
      </c>
      <c r="C224" s="12">
        <v>164.48999999999998</v>
      </c>
      <c r="D224" s="12">
        <v>12.54</v>
      </c>
      <c r="E224" s="17"/>
      <c r="F224" s="18"/>
      <c r="G224" s="19"/>
      <c r="H224" s="12"/>
      <c r="I224" s="10"/>
    </row>
    <row r="225" spans="1:9" x14ac:dyDescent="0.2">
      <c r="A225" s="10">
        <v>20510</v>
      </c>
      <c r="B225" s="11">
        <v>42578</v>
      </c>
      <c r="C225" s="12">
        <v>88.710000000000008</v>
      </c>
      <c r="D225" s="12">
        <v>6.76</v>
      </c>
      <c r="E225" s="15" t="s">
        <v>11</v>
      </c>
      <c r="F225" s="21"/>
      <c r="G225" s="22"/>
      <c r="H225" s="10"/>
      <c r="I225" s="10"/>
    </row>
    <row r="226" spans="1:9" x14ac:dyDescent="0.2">
      <c r="A226" s="10">
        <v>20511</v>
      </c>
      <c r="B226" s="11">
        <v>42578</v>
      </c>
      <c r="C226" s="12">
        <v>56.2</v>
      </c>
      <c r="D226" s="12">
        <v>4.28</v>
      </c>
      <c r="E226" s="15" t="s">
        <v>723</v>
      </c>
      <c r="H226" s="10"/>
      <c r="I226" s="10"/>
    </row>
    <row r="227" spans="1:9" x14ac:dyDescent="0.2">
      <c r="A227" s="10">
        <v>20512</v>
      </c>
      <c r="B227" s="11">
        <v>42578</v>
      </c>
      <c r="C227" s="12">
        <v>18.349999999999998</v>
      </c>
      <c r="D227" s="12">
        <v>1.4</v>
      </c>
      <c r="E227" s="15" t="s">
        <v>724</v>
      </c>
      <c r="H227" s="10"/>
      <c r="I227" s="10"/>
    </row>
    <row r="228" spans="1:9" x14ac:dyDescent="0.2">
      <c r="A228" s="10">
        <v>20513</v>
      </c>
      <c r="B228" s="11">
        <v>42578</v>
      </c>
      <c r="C228" s="12">
        <v>101.17</v>
      </c>
      <c r="D228" s="12"/>
      <c r="E228" s="15" t="s">
        <v>229</v>
      </c>
      <c r="F228" s="21"/>
      <c r="G228" s="22"/>
      <c r="H228" s="10"/>
      <c r="I228" s="10"/>
    </row>
    <row r="229" spans="1:9" x14ac:dyDescent="0.2">
      <c r="A229" s="10">
        <v>20514</v>
      </c>
      <c r="B229" s="11">
        <v>42578</v>
      </c>
      <c r="C229" s="12">
        <v>60.62</v>
      </c>
      <c r="D229" s="12">
        <v>4.62</v>
      </c>
      <c r="E229" s="15" t="s">
        <v>11</v>
      </c>
      <c r="H229" s="10"/>
      <c r="I229" s="10"/>
    </row>
    <row r="230" spans="1:9" x14ac:dyDescent="0.2">
      <c r="A230" s="10">
        <v>20515</v>
      </c>
      <c r="B230" s="11">
        <v>42578</v>
      </c>
      <c r="C230" s="12">
        <v>166</v>
      </c>
      <c r="D230" s="12">
        <v>12.65</v>
      </c>
      <c r="E230" s="15"/>
      <c r="H230" s="10"/>
      <c r="I230" s="10"/>
    </row>
    <row r="231" spans="1:9" x14ac:dyDescent="0.2">
      <c r="A231" s="10">
        <v>20516</v>
      </c>
      <c r="B231" s="11">
        <v>42578</v>
      </c>
      <c r="C231" s="12">
        <v>16.239999999999998</v>
      </c>
      <c r="D231" s="12">
        <v>1.24</v>
      </c>
      <c r="E231" s="15" t="s">
        <v>11</v>
      </c>
      <c r="F231" s="21"/>
      <c r="G231" s="22"/>
      <c r="H231" s="10"/>
      <c r="I231" s="10"/>
    </row>
    <row r="232" spans="1:9" x14ac:dyDescent="0.2">
      <c r="A232" s="10">
        <v>20517</v>
      </c>
      <c r="B232" s="11">
        <v>42578</v>
      </c>
      <c r="C232" s="12">
        <v>22.73</v>
      </c>
      <c r="D232" s="12">
        <v>1.73</v>
      </c>
      <c r="E232" s="17"/>
      <c r="F232" s="20">
        <f>+C222+C223+C225+C229+C231</f>
        <v>293.31</v>
      </c>
      <c r="G232" s="20">
        <v>290.70999999999998</v>
      </c>
      <c r="H232" s="12"/>
      <c r="I232" s="10"/>
    </row>
    <row r="233" spans="1:9" x14ac:dyDescent="0.2">
      <c r="A233" s="10">
        <v>20518</v>
      </c>
      <c r="B233" s="11">
        <v>42579</v>
      </c>
      <c r="C233" s="12">
        <v>279.29000000000002</v>
      </c>
      <c r="D233" s="12">
        <v>21.29</v>
      </c>
      <c r="E233" s="15" t="s">
        <v>725</v>
      </c>
      <c r="F233" s="206"/>
      <c r="G233" s="206"/>
      <c r="H233" s="10"/>
      <c r="I233" s="10"/>
    </row>
    <row r="234" spans="1:9" x14ac:dyDescent="0.2">
      <c r="A234" s="10">
        <v>20519</v>
      </c>
      <c r="B234" s="11">
        <v>42579</v>
      </c>
      <c r="C234" s="12">
        <v>15</v>
      </c>
      <c r="D234" s="12">
        <v>1.1399999999999999</v>
      </c>
      <c r="E234" s="15" t="s">
        <v>726</v>
      </c>
      <c r="F234" s="231"/>
      <c r="G234" s="231"/>
      <c r="H234" s="10"/>
      <c r="I234" s="10"/>
    </row>
    <row r="235" spans="1:9" x14ac:dyDescent="0.2">
      <c r="A235" s="10">
        <v>20520</v>
      </c>
      <c r="B235" s="11">
        <v>42579</v>
      </c>
      <c r="C235" s="12">
        <v>12.88</v>
      </c>
      <c r="D235" s="12">
        <v>0.98</v>
      </c>
      <c r="E235" s="17"/>
      <c r="F235" s="20"/>
      <c r="G235" s="20"/>
      <c r="H235" s="12"/>
      <c r="I235" s="10"/>
    </row>
    <row r="236" spans="1:9" x14ac:dyDescent="0.2">
      <c r="A236" s="10">
        <v>20521</v>
      </c>
      <c r="B236" s="11">
        <v>42579</v>
      </c>
      <c r="C236" s="12">
        <v>124</v>
      </c>
      <c r="D236" s="12">
        <v>9.4499999999999993</v>
      </c>
      <c r="E236" s="17"/>
      <c r="F236" s="20"/>
      <c r="G236" s="20"/>
      <c r="H236" s="12"/>
      <c r="I236" s="10"/>
    </row>
    <row r="237" spans="1:9" x14ac:dyDescent="0.2">
      <c r="A237" s="10">
        <v>20522</v>
      </c>
      <c r="B237" s="11">
        <v>42579</v>
      </c>
      <c r="C237" s="12">
        <v>133.69</v>
      </c>
      <c r="D237" s="12">
        <v>10.19</v>
      </c>
      <c r="E237" s="15" t="s">
        <v>533</v>
      </c>
      <c r="F237" s="231"/>
      <c r="G237" s="231"/>
      <c r="I237" s="10"/>
    </row>
    <row r="238" spans="1:9" x14ac:dyDescent="0.2">
      <c r="A238" s="10">
        <v>20523</v>
      </c>
      <c r="B238" s="11">
        <v>42579</v>
      </c>
      <c r="C238" s="12">
        <v>97.43</v>
      </c>
      <c r="D238" s="12">
        <v>7.43</v>
      </c>
      <c r="E238" s="15" t="s">
        <v>727</v>
      </c>
      <c r="F238" s="231"/>
      <c r="G238" s="231"/>
      <c r="I238" s="10"/>
    </row>
    <row r="239" spans="1:9" x14ac:dyDescent="0.2">
      <c r="A239" s="10">
        <v>20524</v>
      </c>
      <c r="B239" s="11">
        <v>42579</v>
      </c>
      <c r="C239" s="12">
        <v>234</v>
      </c>
      <c r="D239" s="12">
        <v>17.829999999999998</v>
      </c>
      <c r="E239" s="17"/>
      <c r="F239" s="231"/>
      <c r="G239" s="231"/>
      <c r="I239" s="10"/>
    </row>
    <row r="240" spans="1:9" x14ac:dyDescent="0.2">
      <c r="A240" s="10">
        <v>20525</v>
      </c>
      <c r="B240" s="11">
        <v>42579</v>
      </c>
      <c r="C240" s="12">
        <v>179.17000000000002</v>
      </c>
      <c r="D240" s="12"/>
      <c r="E240" s="15" t="s">
        <v>229</v>
      </c>
      <c r="F240" s="20">
        <v>298.69</v>
      </c>
      <c r="G240" s="20">
        <v>290.47000000000003</v>
      </c>
      <c r="H240" s="114"/>
      <c r="I240" s="10"/>
    </row>
    <row r="241" spans="1:9" x14ac:dyDescent="0.2">
      <c r="A241" s="10">
        <v>20526</v>
      </c>
      <c r="B241" s="11">
        <v>42580</v>
      </c>
      <c r="C241" s="12">
        <v>44.38</v>
      </c>
      <c r="D241" s="12">
        <v>3.38</v>
      </c>
      <c r="E241" s="15" t="s">
        <v>533</v>
      </c>
      <c r="F241" s="21"/>
      <c r="G241" s="22"/>
      <c r="H241" s="10"/>
      <c r="I241" s="10"/>
    </row>
    <row r="242" spans="1:9" x14ac:dyDescent="0.2">
      <c r="A242" s="10">
        <v>20527</v>
      </c>
      <c r="B242" s="11">
        <v>42580</v>
      </c>
      <c r="C242" s="12">
        <v>-53.04</v>
      </c>
      <c r="D242" s="12">
        <v>-4.04</v>
      </c>
      <c r="E242" s="15" t="s">
        <v>11</v>
      </c>
      <c r="I242" s="10"/>
    </row>
    <row r="243" spans="1:9" x14ac:dyDescent="0.2">
      <c r="A243" s="10">
        <v>20528</v>
      </c>
      <c r="B243" s="11">
        <v>42580</v>
      </c>
      <c r="C243" s="12">
        <v>37.89</v>
      </c>
      <c r="D243" s="12">
        <v>2.89</v>
      </c>
      <c r="E243" s="15" t="s">
        <v>7</v>
      </c>
      <c r="I243" s="10"/>
    </row>
    <row r="244" spans="1:9" x14ac:dyDescent="0.2">
      <c r="A244" s="10">
        <v>20529</v>
      </c>
      <c r="B244" s="11">
        <v>42580</v>
      </c>
      <c r="C244" s="12">
        <v>87</v>
      </c>
      <c r="D244" s="12">
        <v>6.63</v>
      </c>
      <c r="E244" s="17"/>
      <c r="I244" s="10"/>
    </row>
    <row r="245" spans="1:9" x14ac:dyDescent="0.2">
      <c r="A245" s="10">
        <v>20530</v>
      </c>
      <c r="B245" s="11">
        <v>42580</v>
      </c>
      <c r="C245" s="12">
        <v>159</v>
      </c>
      <c r="D245" s="12">
        <v>12.12</v>
      </c>
      <c r="E245" s="17"/>
      <c r="I245" s="10"/>
    </row>
    <row r="246" spans="1:9" x14ac:dyDescent="0.2">
      <c r="A246" s="10">
        <v>20531</v>
      </c>
      <c r="B246" s="11">
        <v>42580</v>
      </c>
      <c r="C246" s="12">
        <v>20</v>
      </c>
      <c r="D246" s="12">
        <v>1.52</v>
      </c>
      <c r="E246" s="17"/>
      <c r="F246" s="20">
        <f>+C242+C243+16+C233+141.81</f>
        <v>421.95000000000005</v>
      </c>
      <c r="G246" s="20">
        <f>277.47+137.91</f>
        <v>415.38</v>
      </c>
      <c r="H246" s="114"/>
      <c r="I246" s="10"/>
    </row>
    <row r="247" spans="1:9" x14ac:dyDescent="0.2">
      <c r="A247" s="10">
        <v>20532</v>
      </c>
      <c r="B247" s="11">
        <v>42581</v>
      </c>
      <c r="C247" s="12">
        <v>27.06</v>
      </c>
      <c r="D247" s="12">
        <v>2.06</v>
      </c>
      <c r="E247" s="17"/>
      <c r="F247" s="18"/>
      <c r="G247" s="19"/>
      <c r="H247" s="12"/>
      <c r="I247" s="10"/>
    </row>
    <row r="248" spans="1:9" x14ac:dyDescent="0.2">
      <c r="A248" s="10">
        <v>20533</v>
      </c>
      <c r="B248" s="11">
        <v>42581</v>
      </c>
      <c r="C248" s="12">
        <v>74.69</v>
      </c>
      <c r="D248" s="12">
        <v>5.69</v>
      </c>
      <c r="E248" s="15" t="s">
        <v>533</v>
      </c>
      <c r="F248" s="21"/>
      <c r="G248" s="22"/>
      <c r="H248" s="10"/>
      <c r="I248" s="10"/>
    </row>
    <row r="249" spans="1:9" x14ac:dyDescent="0.2">
      <c r="A249" s="10">
        <v>20534</v>
      </c>
      <c r="B249" s="11">
        <v>42581</v>
      </c>
      <c r="C249" s="12">
        <v>21.11</v>
      </c>
      <c r="D249" s="12">
        <v>1.61</v>
      </c>
      <c r="E249" s="15" t="s">
        <v>7</v>
      </c>
      <c r="F249" s="21"/>
      <c r="G249" s="22"/>
      <c r="H249" s="10"/>
      <c r="I249" s="10"/>
    </row>
    <row r="250" spans="1:9" x14ac:dyDescent="0.2">
      <c r="A250" s="10">
        <v>20535</v>
      </c>
      <c r="B250" s="11">
        <v>42581</v>
      </c>
      <c r="C250" s="12">
        <v>5</v>
      </c>
      <c r="D250" s="12">
        <v>0.38</v>
      </c>
      <c r="E250" s="17"/>
      <c r="I250" s="10"/>
    </row>
    <row r="251" spans="1:9" x14ac:dyDescent="0.2">
      <c r="A251" s="10">
        <v>20536</v>
      </c>
      <c r="B251" s="11">
        <v>42581</v>
      </c>
      <c r="C251" s="12">
        <v>101.76</v>
      </c>
      <c r="D251" s="12">
        <v>7.76</v>
      </c>
      <c r="E251" s="15" t="s">
        <v>7</v>
      </c>
      <c r="F251" s="21"/>
      <c r="G251" s="22"/>
      <c r="H251" s="10"/>
      <c r="I251" s="10"/>
    </row>
    <row r="252" spans="1:9" x14ac:dyDescent="0.2">
      <c r="A252" s="10">
        <v>20537</v>
      </c>
      <c r="B252" s="11">
        <v>42581</v>
      </c>
      <c r="C252" s="12">
        <v>3</v>
      </c>
      <c r="D252" s="12">
        <v>0.23</v>
      </c>
      <c r="E252" s="13"/>
      <c r="F252" s="18"/>
      <c r="G252" s="19"/>
      <c r="H252" s="12"/>
      <c r="I252" s="10"/>
    </row>
    <row r="253" spans="1:9" x14ac:dyDescent="0.2">
      <c r="A253" s="10">
        <v>20538</v>
      </c>
      <c r="B253" s="11">
        <v>42581</v>
      </c>
      <c r="C253" s="12">
        <v>92.88</v>
      </c>
      <c r="D253" s="12">
        <v>7.08</v>
      </c>
      <c r="E253" s="15" t="s">
        <v>11</v>
      </c>
      <c r="I253" s="10"/>
    </row>
    <row r="254" spans="1:9" x14ac:dyDescent="0.2">
      <c r="A254" s="10">
        <v>20539</v>
      </c>
      <c r="B254" s="11">
        <v>42581</v>
      </c>
      <c r="C254" s="12">
        <v>428.13</v>
      </c>
      <c r="D254" s="12">
        <v>32.630000000000003</v>
      </c>
      <c r="E254" s="15" t="s">
        <v>728</v>
      </c>
      <c r="I254" s="10"/>
    </row>
    <row r="255" spans="1:9" x14ac:dyDescent="0.2">
      <c r="A255" s="10">
        <v>20540</v>
      </c>
      <c r="B255" s="11">
        <v>42581</v>
      </c>
      <c r="C255" s="12">
        <v>50</v>
      </c>
      <c r="D255" s="12">
        <v>3.81</v>
      </c>
      <c r="E255" s="15" t="s">
        <v>533</v>
      </c>
      <c r="I255" s="10"/>
    </row>
    <row r="256" spans="1:9" x14ac:dyDescent="0.2">
      <c r="A256" s="10">
        <v>20541</v>
      </c>
      <c r="B256" s="11">
        <v>42581</v>
      </c>
      <c r="C256" s="12">
        <v>18.87</v>
      </c>
      <c r="D256" s="12">
        <v>1.44</v>
      </c>
      <c r="E256" s="17"/>
      <c r="I256" s="10"/>
    </row>
    <row r="257" spans="1:28" x14ac:dyDescent="0.2">
      <c r="A257" s="10">
        <v>20542</v>
      </c>
      <c r="B257" s="11">
        <v>42581</v>
      </c>
      <c r="C257" s="12">
        <v>13.53</v>
      </c>
      <c r="D257" s="12">
        <v>1.03</v>
      </c>
      <c r="E257" s="17"/>
      <c r="F257" s="18"/>
      <c r="G257" s="19"/>
      <c r="H257" s="12"/>
      <c r="I257" s="10"/>
    </row>
    <row r="258" spans="1:28" x14ac:dyDescent="0.2">
      <c r="A258" s="10">
        <v>20543</v>
      </c>
      <c r="B258" s="11">
        <v>42581</v>
      </c>
      <c r="C258" s="12">
        <v>71</v>
      </c>
      <c r="D258" s="12">
        <v>5.41</v>
      </c>
      <c r="E258" s="17"/>
      <c r="F258" s="20">
        <f>+C249+C251+C253+225+124.69</f>
        <v>565.44000000000005</v>
      </c>
      <c r="G258" s="20">
        <f>436.19+121.26</f>
        <v>557.45000000000005</v>
      </c>
      <c r="H258" s="114"/>
      <c r="I258" s="10"/>
    </row>
    <row r="259" spans="1:28" x14ac:dyDescent="0.2">
      <c r="A259" s="1"/>
      <c r="B259" s="6"/>
      <c r="C259" s="7"/>
      <c r="D259" s="6"/>
      <c r="E259" s="6"/>
      <c r="H259" s="209"/>
      <c r="I259" s="210"/>
      <c r="J259" s="210"/>
      <c r="K259" s="210"/>
      <c r="L259" s="210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x14ac:dyDescent="0.2">
      <c r="E260" s="26"/>
      <c r="G260" s="184"/>
      <c r="H260" s="212"/>
      <c r="I260" s="213">
        <f ca="1">H1-WEEKDAY(H1,3)-7</f>
        <v>43171</v>
      </c>
      <c r="J260" s="214" t="e">
        <f t="shared" ref="J260:J273" ca="1" si="0">SUMIF(INDIRECT(TEXT(I260,"'mmm-yy'")&amp;"!B3:B400"),I260,INDIRECT(TEXT(I260,"'mmm-yy'")&amp;"!C3:C400"))</f>
        <v>#REF!</v>
      </c>
      <c r="K260" s="214"/>
      <c r="L260" s="217"/>
    </row>
    <row r="261" spans="1:28" x14ac:dyDescent="0.2">
      <c r="E261" s="26"/>
      <c r="G261" s="184"/>
      <c r="H261" s="215"/>
      <c r="I261" s="213">
        <f t="shared" ref="I261:I273" ca="1" si="1">I260+1</f>
        <v>43172</v>
      </c>
      <c r="J261" s="214" t="e">
        <f t="shared" ca="1" si="0"/>
        <v>#REF!</v>
      </c>
      <c r="K261" s="214"/>
      <c r="L261" s="217"/>
    </row>
    <row r="262" spans="1:28" x14ac:dyDescent="0.2">
      <c r="E262" s="26"/>
      <c r="G262" s="184"/>
      <c r="H262" s="215"/>
      <c r="I262" s="213">
        <f t="shared" ca="1" si="1"/>
        <v>43173</v>
      </c>
      <c r="J262" s="214" t="e">
        <f t="shared" ca="1" si="0"/>
        <v>#REF!</v>
      </c>
      <c r="K262" s="214"/>
      <c r="L262" s="217"/>
    </row>
    <row r="263" spans="1:28" x14ac:dyDescent="0.2">
      <c r="E263" s="26"/>
      <c r="G263" s="184"/>
      <c r="H263" s="212"/>
      <c r="I263" s="213">
        <f t="shared" ca="1" si="1"/>
        <v>43174</v>
      </c>
      <c r="J263" s="214" t="e">
        <f t="shared" ca="1" si="0"/>
        <v>#REF!</v>
      </c>
      <c r="K263" s="214"/>
      <c r="L263" s="217"/>
    </row>
    <row r="264" spans="1:28" x14ac:dyDescent="0.2">
      <c r="E264" s="26"/>
      <c r="G264" s="184"/>
      <c r="H264" s="212"/>
      <c r="I264" s="213">
        <f t="shared" ca="1" si="1"/>
        <v>43175</v>
      </c>
      <c r="J264" s="214" t="e">
        <f t="shared" ca="1" si="0"/>
        <v>#REF!</v>
      </c>
      <c r="K264" s="214"/>
      <c r="L264" s="217"/>
    </row>
    <row r="265" spans="1:28" x14ac:dyDescent="0.2">
      <c r="E265" s="26"/>
      <c r="G265" s="184"/>
      <c r="H265" s="215"/>
      <c r="I265" s="213">
        <f t="shared" ca="1" si="1"/>
        <v>43176</v>
      </c>
      <c r="J265" s="214" t="e">
        <f t="shared" ca="1" si="0"/>
        <v>#REF!</v>
      </c>
      <c r="K265" s="214"/>
      <c r="L265" s="217"/>
    </row>
    <row r="266" spans="1:28" x14ac:dyDescent="0.2">
      <c r="E266" s="26"/>
      <c r="G266" s="184"/>
      <c r="H266" s="215"/>
      <c r="I266" s="213">
        <f t="shared" ca="1" si="1"/>
        <v>43177</v>
      </c>
      <c r="J266" s="214" t="e">
        <f t="shared" ca="1" si="0"/>
        <v>#REF!</v>
      </c>
      <c r="K266" s="214" t="e">
        <f ca="1">SUM(J260:J266)</f>
        <v>#REF!</v>
      </c>
      <c r="L266" s="217"/>
    </row>
    <row r="267" spans="1:28" x14ac:dyDescent="0.2">
      <c r="E267" s="26"/>
      <c r="G267" s="184"/>
      <c r="H267" s="212"/>
      <c r="I267" s="213">
        <f t="shared" ca="1" si="1"/>
        <v>43178</v>
      </c>
      <c r="J267" s="214" t="e">
        <f t="shared" ca="1" si="0"/>
        <v>#REF!</v>
      </c>
      <c r="K267" s="214"/>
      <c r="L267" s="217"/>
    </row>
    <row r="268" spans="1:28" x14ac:dyDescent="0.2">
      <c r="E268" s="26"/>
      <c r="G268" s="184"/>
      <c r="H268" s="215"/>
      <c r="I268" s="213">
        <f t="shared" ca="1" si="1"/>
        <v>43179</v>
      </c>
      <c r="J268" s="214" t="e">
        <f t="shared" ca="1" si="0"/>
        <v>#REF!</v>
      </c>
      <c r="K268" s="214"/>
      <c r="L268" s="217"/>
    </row>
    <row r="269" spans="1:28" x14ac:dyDescent="0.2">
      <c r="E269" s="26"/>
      <c r="G269" s="184"/>
      <c r="H269" s="215"/>
      <c r="I269" s="213">
        <f t="shared" ca="1" si="1"/>
        <v>43180</v>
      </c>
      <c r="J269" s="214" t="e">
        <f t="shared" ca="1" si="0"/>
        <v>#REF!</v>
      </c>
      <c r="K269" s="214"/>
      <c r="L269" s="217"/>
    </row>
    <row r="270" spans="1:28" x14ac:dyDescent="0.2">
      <c r="E270" s="26"/>
      <c r="G270" s="184"/>
      <c r="H270" s="215"/>
      <c r="I270" s="213">
        <f t="shared" ca="1" si="1"/>
        <v>43181</v>
      </c>
      <c r="J270" s="214" t="e">
        <f t="shared" ca="1" si="0"/>
        <v>#REF!</v>
      </c>
      <c r="K270" s="214"/>
      <c r="L270" s="217"/>
    </row>
    <row r="271" spans="1:28" x14ac:dyDescent="0.2">
      <c r="E271" s="26"/>
      <c r="G271" s="184"/>
      <c r="H271" s="215"/>
      <c r="I271" s="213">
        <f t="shared" ca="1" si="1"/>
        <v>43182</v>
      </c>
      <c r="J271" s="214" t="e">
        <f t="shared" ca="1" si="0"/>
        <v>#REF!</v>
      </c>
      <c r="K271" s="214"/>
      <c r="L271" s="217"/>
    </row>
    <row r="272" spans="1:28" x14ac:dyDescent="0.2">
      <c r="E272" s="26"/>
      <c r="G272" s="184"/>
      <c r="H272" s="215"/>
      <c r="I272" s="213">
        <f t="shared" ca="1" si="1"/>
        <v>43183</v>
      </c>
      <c r="J272" s="214" t="e">
        <f t="shared" ca="1" si="0"/>
        <v>#REF!</v>
      </c>
      <c r="K272" s="214"/>
      <c r="L272" s="217"/>
    </row>
    <row r="273" spans="5:12" x14ac:dyDescent="0.2">
      <c r="E273" s="26"/>
      <c r="G273" s="184"/>
      <c r="H273" s="215"/>
      <c r="I273" s="213">
        <f t="shared" ca="1" si="1"/>
        <v>43184</v>
      </c>
      <c r="J273" s="214" t="e">
        <f t="shared" ca="1" si="0"/>
        <v>#REF!</v>
      </c>
      <c r="K273" s="214" t="e">
        <f ca="1">SUM(J267:J273)</f>
        <v>#REF!</v>
      </c>
      <c r="L273" s="217"/>
    </row>
    <row r="274" spans="5:12" x14ac:dyDescent="0.2">
      <c r="E274" s="26"/>
      <c r="G274" s="184"/>
      <c r="H274" s="216"/>
      <c r="I274" s="217"/>
      <c r="J274" s="217"/>
      <c r="K274" s="217"/>
      <c r="L274" s="217"/>
    </row>
    <row r="275" spans="5:12" x14ac:dyDescent="0.2">
      <c r="E275" s="26"/>
      <c r="G275" s="184"/>
      <c r="H275" s="216"/>
      <c r="I275" s="217"/>
      <c r="J275" s="217"/>
      <c r="K275" s="217"/>
      <c r="L275" s="217"/>
    </row>
    <row r="276" spans="5:12" x14ac:dyDescent="0.2">
      <c r="E276" s="26"/>
      <c r="G276" s="184"/>
      <c r="H276" s="216"/>
      <c r="I276" s="217"/>
      <c r="J276" s="217"/>
      <c r="K276" s="217"/>
      <c r="L276" s="217"/>
    </row>
    <row r="277" spans="5:12" x14ac:dyDescent="0.2">
      <c r="E277" s="26"/>
      <c r="G277" s="184"/>
      <c r="H277" s="216"/>
      <c r="I277" s="217"/>
      <c r="J277" s="217"/>
      <c r="K277" s="217"/>
      <c r="L277" s="217"/>
    </row>
    <row r="278" spans="5:12" x14ac:dyDescent="0.2">
      <c r="E278" s="26"/>
      <c r="G278" s="184"/>
      <c r="H278" s="216"/>
      <c r="I278" s="217"/>
      <c r="J278" s="217"/>
      <c r="K278" s="217"/>
      <c r="L278" s="217"/>
    </row>
    <row r="279" spans="5:12" x14ac:dyDescent="0.2">
      <c r="E279" s="26"/>
      <c r="G279" s="184"/>
      <c r="H279" s="199"/>
      <c r="I279" s="184"/>
      <c r="J279" s="184"/>
      <c r="K279" s="184"/>
      <c r="L279" s="184"/>
    </row>
    <row r="280" spans="5:12" x14ac:dyDescent="0.2">
      <c r="E280" s="26"/>
      <c r="G280" s="184"/>
      <c r="H280" s="199"/>
      <c r="I280" s="184"/>
      <c r="J280" s="184"/>
      <c r="K280" s="184"/>
      <c r="L280" s="184"/>
    </row>
    <row r="281" spans="5:12" x14ac:dyDescent="0.2">
      <c r="E281" s="26"/>
    </row>
    <row r="282" spans="5:12" x14ac:dyDescent="0.2">
      <c r="E282" s="26"/>
    </row>
    <row r="283" spans="5:12" x14ac:dyDescent="0.2">
      <c r="E283" s="26"/>
    </row>
    <row r="284" spans="5:12" x14ac:dyDescent="0.2">
      <c r="E284" s="26"/>
    </row>
    <row r="285" spans="5:12" x14ac:dyDescent="0.2">
      <c r="E285" s="26"/>
    </row>
    <row r="286" spans="5:12" x14ac:dyDescent="0.2">
      <c r="E286" s="26"/>
    </row>
    <row r="287" spans="5:12" x14ac:dyDescent="0.2">
      <c r="E287" s="26"/>
    </row>
    <row r="288" spans="5:12" x14ac:dyDescent="0.2">
      <c r="E288" s="26"/>
    </row>
    <row r="289" spans="1:28" s="29" customFormat="1" x14ac:dyDescent="0.2">
      <c r="A289" s="4"/>
      <c r="B289" s="11"/>
      <c r="C289" s="25"/>
      <c r="D289" s="4"/>
      <c r="E289" s="26"/>
      <c r="F289" s="4"/>
      <c r="G289" s="4"/>
      <c r="H289" s="25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s="29" customFormat="1" x14ac:dyDescent="0.2">
      <c r="A290" s="4"/>
      <c r="B290" s="11"/>
      <c r="C290" s="25"/>
      <c r="D290" s="4"/>
      <c r="E290" s="26"/>
      <c r="F290" s="4"/>
      <c r="G290" s="4"/>
      <c r="H290" s="25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x14ac:dyDescent="0.2">
      <c r="E291" s="26"/>
    </row>
    <row r="292" spans="1:28" x14ac:dyDescent="0.2">
      <c r="E292" s="26"/>
    </row>
    <row r="293" spans="1:28" x14ac:dyDescent="0.2">
      <c r="E293" s="26"/>
    </row>
    <row r="294" spans="1:28" x14ac:dyDescent="0.2">
      <c r="E294" s="26"/>
    </row>
    <row r="295" spans="1:28" x14ac:dyDescent="0.2">
      <c r="E295" s="26"/>
    </row>
    <row r="296" spans="1:28" x14ac:dyDescent="0.2">
      <c r="E296" s="26"/>
    </row>
    <row r="297" spans="1:28" x14ac:dyDescent="0.2">
      <c r="E297" s="26"/>
    </row>
    <row r="298" spans="1:28" x14ac:dyDescent="0.2">
      <c r="E298" s="26"/>
    </row>
    <row r="299" spans="1:28" x14ac:dyDescent="0.2">
      <c r="A299" s="29"/>
      <c r="B299" s="30"/>
      <c r="C299" s="31"/>
      <c r="D299" s="29"/>
      <c r="E299" s="32"/>
      <c r="F299" s="29"/>
      <c r="G299" s="29"/>
      <c r="H299" s="31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</row>
    <row r="300" spans="1:28" x14ac:dyDescent="0.2">
      <c r="A300" s="29"/>
      <c r="B300" s="30"/>
      <c r="C300" s="31"/>
      <c r="D300" s="29"/>
      <c r="E300" s="32"/>
      <c r="F300" s="29"/>
      <c r="G300" s="29"/>
      <c r="H300" s="31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</row>
    <row r="301" spans="1:28" x14ac:dyDescent="0.2">
      <c r="E301" s="26"/>
    </row>
    <row r="302" spans="1:28" x14ac:dyDescent="0.2">
      <c r="E302" s="26"/>
    </row>
    <row r="303" spans="1:28" x14ac:dyDescent="0.2">
      <c r="E303" s="26"/>
    </row>
    <row r="304" spans="1:28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3285"/>
  <sheetViews>
    <sheetView topLeftCell="A220" workbookViewId="0">
      <selection activeCell="A268" sqref="A268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60" t="s">
        <v>0</v>
      </c>
      <c r="B1" s="2"/>
      <c r="C1" s="3">
        <f>SUM(C3:C467)</f>
        <v>27597.361175000013</v>
      </c>
      <c r="D1" s="3">
        <f>SUM(D3:D467)</f>
        <v>1664.3811750000002</v>
      </c>
      <c r="F1" s="166">
        <f>SUM(F3:F3160)</f>
        <v>9948.1720000000005</v>
      </c>
      <c r="G1" s="166">
        <f>SUM(G3:G3160)</f>
        <v>9714.4518171999989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20544</v>
      </c>
      <c r="B3" s="11">
        <v>42583</v>
      </c>
      <c r="C3" s="12">
        <v>200.99860000000001</v>
      </c>
      <c r="D3" s="12">
        <v>15.318600000000002</v>
      </c>
      <c r="E3" s="12"/>
      <c r="F3" s="12"/>
      <c r="G3" s="12"/>
      <c r="H3" s="12"/>
    </row>
    <row r="4" spans="1:10" x14ac:dyDescent="0.2">
      <c r="A4" s="10">
        <v>20545</v>
      </c>
      <c r="B4" s="11">
        <v>42583</v>
      </c>
      <c r="C4" s="12">
        <v>4.01</v>
      </c>
      <c r="D4" s="12">
        <v>0.31</v>
      </c>
      <c r="E4" s="12"/>
      <c r="F4" s="12"/>
      <c r="G4" s="12"/>
      <c r="H4" s="12"/>
    </row>
    <row r="5" spans="1:10" x14ac:dyDescent="0.2">
      <c r="A5" s="10">
        <v>20546</v>
      </c>
      <c r="B5" s="11">
        <v>42583</v>
      </c>
      <c r="C5" s="12">
        <v>76.86</v>
      </c>
      <c r="D5" s="12">
        <v>5.86</v>
      </c>
      <c r="E5" s="15" t="s">
        <v>11</v>
      </c>
      <c r="F5" s="10"/>
      <c r="G5" s="10"/>
      <c r="H5" s="10"/>
      <c r="I5" s="10"/>
    </row>
    <row r="6" spans="1:10" x14ac:dyDescent="0.2">
      <c r="A6" s="10">
        <v>20547</v>
      </c>
      <c r="B6" s="11">
        <v>42583</v>
      </c>
      <c r="C6" s="12">
        <v>34.64</v>
      </c>
      <c r="D6" s="12">
        <v>2.64</v>
      </c>
      <c r="E6" s="15" t="s">
        <v>7</v>
      </c>
      <c r="H6" s="10"/>
      <c r="I6" s="10"/>
    </row>
    <row r="7" spans="1:10" x14ac:dyDescent="0.2">
      <c r="A7" s="10">
        <v>20548</v>
      </c>
      <c r="B7" s="11">
        <v>42583</v>
      </c>
      <c r="C7" s="12">
        <v>30</v>
      </c>
      <c r="D7" s="12">
        <v>2.29</v>
      </c>
      <c r="E7" s="17"/>
      <c r="F7" s="18"/>
      <c r="G7" s="19"/>
      <c r="H7" s="12"/>
      <c r="I7" s="10"/>
    </row>
    <row r="8" spans="1:10" x14ac:dyDescent="0.2">
      <c r="A8" s="10">
        <v>20549</v>
      </c>
      <c r="B8" s="11">
        <v>42583</v>
      </c>
      <c r="C8" s="12">
        <v>74.69</v>
      </c>
      <c r="D8" s="12">
        <v>5.69</v>
      </c>
      <c r="E8" s="15" t="s">
        <v>11</v>
      </c>
      <c r="F8" s="21"/>
      <c r="G8" s="22"/>
      <c r="H8" s="10"/>
      <c r="I8" s="10"/>
    </row>
    <row r="9" spans="1:10" x14ac:dyDescent="0.2">
      <c r="A9" s="10">
        <v>20550</v>
      </c>
      <c r="B9" s="11">
        <v>42583</v>
      </c>
      <c r="C9" s="12">
        <v>120.16</v>
      </c>
      <c r="D9" s="12">
        <v>9.16</v>
      </c>
      <c r="E9" s="13" t="s">
        <v>7</v>
      </c>
      <c r="F9" s="18"/>
      <c r="G9" s="19"/>
      <c r="H9" s="12"/>
      <c r="I9" s="10"/>
    </row>
    <row r="10" spans="1:10" x14ac:dyDescent="0.2">
      <c r="A10" s="10">
        <v>20551</v>
      </c>
      <c r="B10" s="11">
        <v>42583</v>
      </c>
      <c r="C10" s="12">
        <v>175.37</v>
      </c>
      <c r="D10" s="12">
        <v>13.37</v>
      </c>
      <c r="E10" s="15" t="s">
        <v>11</v>
      </c>
      <c r="H10" s="10"/>
      <c r="I10" s="10"/>
    </row>
    <row r="11" spans="1:10" x14ac:dyDescent="0.2">
      <c r="A11" s="10">
        <v>20552</v>
      </c>
      <c r="B11" s="11">
        <v>42583</v>
      </c>
      <c r="C11" s="12">
        <v>298.52</v>
      </c>
      <c r="D11" s="12">
        <v>22.22</v>
      </c>
      <c r="E11" s="15" t="s">
        <v>21</v>
      </c>
      <c r="F11" s="21"/>
      <c r="G11" s="22"/>
      <c r="H11" s="10"/>
      <c r="I11" s="10"/>
    </row>
    <row r="12" spans="1:10" x14ac:dyDescent="0.2">
      <c r="A12" s="10">
        <v>20553</v>
      </c>
      <c r="B12" s="11">
        <v>42583</v>
      </c>
      <c r="C12" s="12">
        <v>173.80999999999997</v>
      </c>
      <c r="D12" s="12">
        <v>13.25</v>
      </c>
      <c r="E12" s="17"/>
      <c r="F12" s="20">
        <f>+C5+C6+1.08+C8+C10+C9+9.74</f>
        <v>492.53999999999996</v>
      </c>
      <c r="G12" s="20">
        <v>484.38</v>
      </c>
      <c r="H12" s="12"/>
      <c r="I12" s="10"/>
    </row>
    <row r="13" spans="1:10" x14ac:dyDescent="0.2">
      <c r="A13" s="10">
        <v>20554</v>
      </c>
      <c r="B13" s="11">
        <v>42584</v>
      </c>
      <c r="C13" s="12">
        <v>111.5</v>
      </c>
      <c r="D13" s="12">
        <v>8.5</v>
      </c>
      <c r="E13" s="15" t="s">
        <v>349</v>
      </c>
      <c r="H13" s="10"/>
      <c r="I13" s="10"/>
    </row>
    <row r="14" spans="1:10" x14ac:dyDescent="0.2">
      <c r="A14" s="10">
        <v>20555</v>
      </c>
      <c r="B14" s="11">
        <v>42584</v>
      </c>
      <c r="C14" s="12">
        <v>8</v>
      </c>
      <c r="D14" s="12">
        <v>0.61</v>
      </c>
      <c r="E14" s="17"/>
      <c r="H14" s="12"/>
      <c r="I14" s="10"/>
    </row>
    <row r="15" spans="1:10" x14ac:dyDescent="0.2">
      <c r="A15" s="10">
        <v>20556</v>
      </c>
      <c r="B15" s="11">
        <v>42584</v>
      </c>
      <c r="C15" s="12">
        <v>152</v>
      </c>
      <c r="D15" s="12">
        <v>11.58</v>
      </c>
      <c r="E15" s="17"/>
      <c r="H15" s="12"/>
      <c r="I15" s="10"/>
    </row>
    <row r="16" spans="1:10" x14ac:dyDescent="0.2">
      <c r="A16" s="10">
        <v>20557</v>
      </c>
      <c r="B16" s="11">
        <v>42584</v>
      </c>
      <c r="C16" s="12">
        <v>114.75</v>
      </c>
      <c r="D16" s="12">
        <v>8.75</v>
      </c>
      <c r="E16" s="15" t="s">
        <v>533</v>
      </c>
      <c r="F16" s="21"/>
      <c r="G16" s="22"/>
      <c r="H16" s="10"/>
      <c r="I16" s="10"/>
    </row>
    <row r="17" spans="1:9" x14ac:dyDescent="0.2">
      <c r="A17" s="10">
        <v>20558</v>
      </c>
      <c r="B17" s="11">
        <v>42584</v>
      </c>
      <c r="C17" s="12">
        <v>75.78</v>
      </c>
      <c r="D17" s="12">
        <v>5.78</v>
      </c>
      <c r="E17" s="17"/>
      <c r="I17" s="10"/>
    </row>
    <row r="18" spans="1:9" x14ac:dyDescent="0.2">
      <c r="A18" s="10">
        <v>20559</v>
      </c>
      <c r="B18" s="11">
        <v>42584</v>
      </c>
      <c r="C18" s="12">
        <v>382.12</v>
      </c>
      <c r="D18" s="12">
        <v>29.12</v>
      </c>
      <c r="E18" s="15" t="s">
        <v>11</v>
      </c>
      <c r="I18" s="10"/>
    </row>
    <row r="19" spans="1:9" x14ac:dyDescent="0.2">
      <c r="A19" s="10">
        <v>20560</v>
      </c>
      <c r="B19" s="11">
        <v>42584</v>
      </c>
      <c r="C19" s="12">
        <v>26</v>
      </c>
      <c r="D19" s="12"/>
      <c r="E19" s="15" t="s">
        <v>10</v>
      </c>
      <c r="F19" s="21"/>
      <c r="G19" s="22"/>
      <c r="H19" s="10"/>
      <c r="I19" s="10"/>
    </row>
    <row r="20" spans="1:9" x14ac:dyDescent="0.2">
      <c r="A20" s="10">
        <v>20561</v>
      </c>
      <c r="B20" s="11">
        <v>42584</v>
      </c>
      <c r="C20" s="12">
        <v>3.25</v>
      </c>
      <c r="D20" s="12">
        <v>0.25</v>
      </c>
      <c r="E20" s="17"/>
      <c r="I20" s="10"/>
    </row>
    <row r="21" spans="1:9" x14ac:dyDescent="0.2">
      <c r="A21" s="10">
        <v>20562</v>
      </c>
      <c r="B21" s="11">
        <v>42584</v>
      </c>
      <c r="C21" s="12">
        <v>313.57</v>
      </c>
      <c r="D21" s="12"/>
      <c r="E21" s="15" t="s">
        <v>229</v>
      </c>
      <c r="F21" s="134">
        <f>+C18</f>
        <v>382.12</v>
      </c>
      <c r="G21" s="123">
        <f>+F21*0.97831</f>
        <v>373.83181719999999</v>
      </c>
      <c r="H21" s="114" t="s">
        <v>729</v>
      </c>
      <c r="I21" s="10"/>
    </row>
    <row r="22" spans="1:9" x14ac:dyDescent="0.2">
      <c r="A22" s="10">
        <v>20563</v>
      </c>
      <c r="B22" s="11">
        <v>42585</v>
      </c>
      <c r="C22" s="12">
        <v>129.9</v>
      </c>
      <c r="D22" s="12">
        <v>9.9</v>
      </c>
      <c r="E22" s="15" t="s">
        <v>533</v>
      </c>
      <c r="I22" s="10"/>
    </row>
    <row r="23" spans="1:9" x14ac:dyDescent="0.2">
      <c r="A23" s="10">
        <v>20564</v>
      </c>
      <c r="B23" s="11">
        <v>42585</v>
      </c>
      <c r="C23" s="12">
        <v>132.07</v>
      </c>
      <c r="D23" s="12">
        <v>10.07</v>
      </c>
      <c r="E23" s="15" t="s">
        <v>730</v>
      </c>
      <c r="F23" s="21"/>
      <c r="G23" s="22"/>
      <c r="H23" s="10"/>
      <c r="I23" s="10"/>
    </row>
    <row r="24" spans="1:9" x14ac:dyDescent="0.2">
      <c r="A24" s="10">
        <v>20565</v>
      </c>
      <c r="B24" s="11">
        <v>42585</v>
      </c>
      <c r="C24" s="12">
        <v>108.3</v>
      </c>
      <c r="D24" s="12">
        <v>8.25</v>
      </c>
      <c r="E24" s="17"/>
      <c r="I24" s="10"/>
    </row>
    <row r="25" spans="1:9" x14ac:dyDescent="0.2">
      <c r="A25" s="10">
        <v>20566</v>
      </c>
      <c r="B25" s="11">
        <v>42585</v>
      </c>
      <c r="C25" s="12">
        <v>44.38</v>
      </c>
      <c r="D25" s="12">
        <v>3.38</v>
      </c>
      <c r="E25" s="15" t="s">
        <v>7</v>
      </c>
      <c r="I25" s="10"/>
    </row>
    <row r="26" spans="1:9" x14ac:dyDescent="0.2">
      <c r="A26" s="10">
        <v>20567</v>
      </c>
      <c r="B26" s="11">
        <v>42585</v>
      </c>
      <c r="C26" s="12">
        <v>232.2</v>
      </c>
      <c r="D26" s="12">
        <v>17.7</v>
      </c>
      <c r="E26" s="15" t="s">
        <v>11</v>
      </c>
      <c r="F26" s="20">
        <f>32.07+C25+C26+129.9</f>
        <v>438.54999999999995</v>
      </c>
      <c r="G26" s="20">
        <f>306.22+126.33</f>
        <v>432.55</v>
      </c>
      <c r="H26" s="114"/>
      <c r="I26" s="10"/>
    </row>
    <row r="27" spans="1:9" x14ac:dyDescent="0.2">
      <c r="A27" s="10">
        <v>20568</v>
      </c>
      <c r="B27" s="11">
        <v>42586</v>
      </c>
      <c r="C27" s="12">
        <v>243</v>
      </c>
      <c r="D27" s="12">
        <v>18.52</v>
      </c>
      <c r="E27" s="17"/>
      <c r="F27" s="18"/>
      <c r="G27" s="19"/>
      <c r="H27" s="12"/>
      <c r="I27" s="10"/>
    </row>
    <row r="28" spans="1:9" x14ac:dyDescent="0.2">
      <c r="A28" s="10">
        <v>20569</v>
      </c>
      <c r="B28" s="11">
        <v>42586</v>
      </c>
      <c r="C28" s="12">
        <v>876</v>
      </c>
      <c r="D28" s="12"/>
      <c r="E28" s="13" t="s">
        <v>731</v>
      </c>
      <c r="F28" s="18"/>
      <c r="G28" s="19"/>
      <c r="H28" s="12"/>
      <c r="I28" s="10"/>
    </row>
    <row r="29" spans="1:9" x14ac:dyDescent="0.2">
      <c r="A29" s="10">
        <v>20570</v>
      </c>
      <c r="B29" s="11">
        <v>42586</v>
      </c>
      <c r="C29" s="12">
        <v>41.14</v>
      </c>
      <c r="D29" s="12">
        <v>3.14</v>
      </c>
      <c r="E29" s="17"/>
      <c r="F29" s="18"/>
      <c r="G29" s="19"/>
      <c r="H29" s="12"/>
      <c r="I29" s="10"/>
    </row>
    <row r="30" spans="1:9" x14ac:dyDescent="0.2">
      <c r="A30" s="10">
        <v>20571</v>
      </c>
      <c r="B30" s="11">
        <v>42586</v>
      </c>
      <c r="C30" s="12">
        <v>59.54</v>
      </c>
      <c r="D30" s="12">
        <v>4.54</v>
      </c>
      <c r="E30" s="15" t="s">
        <v>11</v>
      </c>
      <c r="F30" s="21"/>
      <c r="G30" s="22"/>
      <c r="H30" s="10"/>
      <c r="I30" s="10"/>
    </row>
    <row r="31" spans="1:9" x14ac:dyDescent="0.2">
      <c r="A31" s="10">
        <v>20572</v>
      </c>
      <c r="B31" s="11">
        <v>42586</v>
      </c>
      <c r="C31" s="12">
        <v>81.13</v>
      </c>
      <c r="D31" s="12">
        <v>6.18</v>
      </c>
      <c r="E31" s="15" t="s">
        <v>11</v>
      </c>
      <c r="H31" s="10"/>
      <c r="I31" s="10"/>
    </row>
    <row r="32" spans="1:9" x14ac:dyDescent="0.2">
      <c r="A32" s="10">
        <v>20573</v>
      </c>
      <c r="B32" s="11">
        <v>42586</v>
      </c>
      <c r="C32" s="12">
        <v>31.14</v>
      </c>
      <c r="D32" s="12"/>
      <c r="E32" s="13" t="s">
        <v>8</v>
      </c>
      <c r="H32" s="12"/>
      <c r="I32" s="10"/>
    </row>
    <row r="33" spans="1:9" x14ac:dyDescent="0.2">
      <c r="A33" s="10">
        <v>20574</v>
      </c>
      <c r="B33" s="11">
        <v>42586</v>
      </c>
      <c r="C33" s="12">
        <v>32.42</v>
      </c>
      <c r="D33" s="12">
        <v>2.4700000000000002</v>
      </c>
      <c r="E33" s="15" t="s">
        <v>11</v>
      </c>
      <c r="H33" s="10"/>
      <c r="I33" s="10"/>
    </row>
    <row r="34" spans="1:9" x14ac:dyDescent="0.2">
      <c r="A34" s="10">
        <v>20575</v>
      </c>
      <c r="B34" s="11">
        <v>42586</v>
      </c>
      <c r="C34" s="12">
        <v>250.88</v>
      </c>
      <c r="D34" s="12"/>
      <c r="E34" s="15" t="s">
        <v>229</v>
      </c>
      <c r="F34" s="21"/>
      <c r="G34" s="22"/>
      <c r="H34" s="10"/>
      <c r="I34" s="10"/>
    </row>
    <row r="35" spans="1:9" x14ac:dyDescent="0.2">
      <c r="A35" s="10">
        <v>20576</v>
      </c>
      <c r="B35" s="11">
        <v>42586</v>
      </c>
      <c r="C35" s="12">
        <v>73.25</v>
      </c>
      <c r="D35" s="12"/>
      <c r="E35" s="15" t="s">
        <v>280</v>
      </c>
      <c r="F35" s="21"/>
      <c r="G35" s="22"/>
      <c r="H35" s="10"/>
      <c r="I35" s="10"/>
    </row>
    <row r="36" spans="1:9" x14ac:dyDescent="0.2">
      <c r="A36" s="10">
        <v>20577</v>
      </c>
      <c r="B36" s="11">
        <v>42586</v>
      </c>
      <c r="C36" s="12">
        <v>189</v>
      </c>
      <c r="D36" s="12">
        <v>14.4</v>
      </c>
      <c r="E36" s="13" t="s">
        <v>732</v>
      </c>
      <c r="F36" s="18"/>
      <c r="G36" s="19"/>
      <c r="H36" s="12"/>
      <c r="I36" s="10"/>
    </row>
    <row r="37" spans="1:9" x14ac:dyDescent="0.2">
      <c r="A37" s="10">
        <v>20578</v>
      </c>
      <c r="B37" s="11">
        <v>42586</v>
      </c>
      <c r="C37" s="12">
        <v>15</v>
      </c>
      <c r="D37" s="12"/>
      <c r="E37" s="13" t="s">
        <v>19</v>
      </c>
      <c r="F37" s="20">
        <f>+C30+C31+C33+C35</f>
        <v>246.33999999999997</v>
      </c>
      <c r="G37" s="20">
        <v>243.74</v>
      </c>
      <c r="H37" s="12"/>
      <c r="I37" s="10"/>
    </row>
    <row r="38" spans="1:9" x14ac:dyDescent="0.2">
      <c r="A38" s="10">
        <v>20579</v>
      </c>
      <c r="B38" s="11">
        <v>42587</v>
      </c>
      <c r="C38" s="12">
        <v>7.5200000000000005</v>
      </c>
      <c r="D38" s="12">
        <v>0.56999999999999995</v>
      </c>
      <c r="E38" s="17"/>
      <c r="F38" s="18"/>
      <c r="G38" s="19"/>
      <c r="H38" s="12"/>
      <c r="I38" s="10"/>
    </row>
    <row r="39" spans="1:9" x14ac:dyDescent="0.2">
      <c r="A39" s="10">
        <v>20580</v>
      </c>
      <c r="B39" s="11">
        <v>42587</v>
      </c>
      <c r="C39" s="12">
        <v>48.71</v>
      </c>
      <c r="D39" s="12">
        <v>3.71</v>
      </c>
      <c r="E39" s="17"/>
      <c r="H39" s="12"/>
      <c r="I39" s="10"/>
    </row>
    <row r="40" spans="1:9" x14ac:dyDescent="0.2">
      <c r="A40" s="10">
        <v>20581</v>
      </c>
      <c r="B40" s="11">
        <v>42587</v>
      </c>
      <c r="C40" s="12">
        <v>263</v>
      </c>
      <c r="D40" s="12"/>
      <c r="E40" s="15" t="s">
        <v>10</v>
      </c>
      <c r="H40" s="10"/>
      <c r="I40" s="10"/>
    </row>
    <row r="41" spans="1:9" x14ac:dyDescent="0.2">
      <c r="A41" s="10">
        <v>20582</v>
      </c>
      <c r="B41" s="11">
        <v>42587</v>
      </c>
      <c r="C41" s="12">
        <v>203</v>
      </c>
      <c r="D41" s="12"/>
      <c r="E41" s="15" t="s">
        <v>229</v>
      </c>
      <c r="H41" s="10"/>
      <c r="I41" s="10"/>
    </row>
    <row r="42" spans="1:9" x14ac:dyDescent="0.2">
      <c r="A42" s="10">
        <v>20583</v>
      </c>
      <c r="B42" s="11">
        <v>42587</v>
      </c>
      <c r="C42" s="12">
        <v>7.74</v>
      </c>
      <c r="D42" s="12"/>
      <c r="E42" s="15" t="s">
        <v>11</v>
      </c>
      <c r="H42" s="10"/>
      <c r="I42" s="10"/>
    </row>
    <row r="43" spans="1:9" x14ac:dyDescent="0.2">
      <c r="A43" s="10">
        <v>20584</v>
      </c>
      <c r="B43" s="11">
        <v>42587</v>
      </c>
      <c r="C43" s="12">
        <v>12.99</v>
      </c>
      <c r="D43" s="12">
        <v>0.99</v>
      </c>
      <c r="E43" s="15" t="s">
        <v>11</v>
      </c>
      <c r="F43" s="21"/>
      <c r="G43" s="22"/>
      <c r="H43" s="10"/>
      <c r="I43" s="10"/>
    </row>
    <row r="44" spans="1:9" x14ac:dyDescent="0.2">
      <c r="A44" s="10">
        <v>20585</v>
      </c>
      <c r="B44" s="11">
        <v>42587</v>
      </c>
      <c r="C44" s="12">
        <v>86.6</v>
      </c>
      <c r="D44" s="12">
        <v>6.6</v>
      </c>
      <c r="E44" s="15" t="s">
        <v>11</v>
      </c>
      <c r="F44" s="21"/>
      <c r="G44" s="22"/>
      <c r="H44" s="10"/>
      <c r="I44" s="10"/>
    </row>
    <row r="45" spans="1:9" x14ac:dyDescent="0.2">
      <c r="A45" s="10">
        <v>20586</v>
      </c>
      <c r="B45" s="11">
        <v>42587</v>
      </c>
      <c r="C45" s="12">
        <v>0</v>
      </c>
      <c r="D45" s="12"/>
      <c r="E45" s="13" t="s">
        <v>733</v>
      </c>
      <c r="F45" s="18"/>
      <c r="G45" s="19"/>
      <c r="H45" s="12"/>
      <c r="I45" s="10"/>
    </row>
    <row r="46" spans="1:9" x14ac:dyDescent="0.2">
      <c r="A46" s="10">
        <v>20587</v>
      </c>
      <c r="B46" s="11">
        <v>42587</v>
      </c>
      <c r="C46" s="12">
        <v>77</v>
      </c>
      <c r="D46" s="12"/>
      <c r="E46" s="13" t="s">
        <v>19</v>
      </c>
      <c r="F46" s="18"/>
      <c r="G46" s="19"/>
      <c r="H46" s="12"/>
      <c r="I46" s="10"/>
    </row>
    <row r="47" spans="1:9" x14ac:dyDescent="0.2">
      <c r="A47" s="10">
        <v>20588</v>
      </c>
      <c r="B47" s="11">
        <v>42587</v>
      </c>
      <c r="C47" s="12">
        <v>1</v>
      </c>
      <c r="D47" s="12">
        <v>0.08</v>
      </c>
      <c r="E47" s="13"/>
      <c r="F47" s="18"/>
      <c r="G47" s="19"/>
      <c r="H47" s="12"/>
      <c r="I47" s="10"/>
    </row>
    <row r="48" spans="1:9" x14ac:dyDescent="0.2">
      <c r="A48" s="10">
        <v>20589</v>
      </c>
      <c r="B48" s="11">
        <v>42587</v>
      </c>
      <c r="C48" s="12">
        <v>34.5</v>
      </c>
      <c r="D48" s="12"/>
      <c r="E48" s="15" t="s">
        <v>10</v>
      </c>
      <c r="H48" s="10"/>
      <c r="I48" s="10"/>
    </row>
    <row r="49" spans="1:9" x14ac:dyDescent="0.2">
      <c r="A49" s="10">
        <v>20590</v>
      </c>
      <c r="B49" s="11">
        <v>42587</v>
      </c>
      <c r="C49" s="12">
        <v>108.25</v>
      </c>
      <c r="D49" s="12">
        <v>8.25</v>
      </c>
      <c r="E49" s="15" t="s">
        <v>11</v>
      </c>
      <c r="H49" s="10"/>
      <c r="I49" s="10"/>
    </row>
    <row r="50" spans="1:9" x14ac:dyDescent="0.2">
      <c r="A50" s="10">
        <v>20591</v>
      </c>
      <c r="B50" s="11">
        <v>42587</v>
      </c>
      <c r="C50" s="12">
        <v>27</v>
      </c>
      <c r="D50" s="12">
        <v>2.0499999999999998</v>
      </c>
      <c r="E50" s="17"/>
      <c r="H50" s="12"/>
      <c r="I50" s="10"/>
    </row>
    <row r="51" spans="1:9" x14ac:dyDescent="0.2">
      <c r="A51" s="10">
        <v>20592</v>
      </c>
      <c r="B51" s="11">
        <v>42587</v>
      </c>
      <c r="C51" s="12">
        <v>59.54</v>
      </c>
      <c r="D51" s="12">
        <v>4.54</v>
      </c>
      <c r="E51" s="15" t="s">
        <v>7</v>
      </c>
      <c r="H51" s="10"/>
      <c r="I51" s="10"/>
    </row>
    <row r="52" spans="1:9" x14ac:dyDescent="0.2">
      <c r="A52" s="10">
        <v>20593</v>
      </c>
      <c r="B52" s="11">
        <v>42587</v>
      </c>
      <c r="C52" s="12">
        <v>58</v>
      </c>
      <c r="D52" s="12"/>
      <c r="E52" s="15" t="s">
        <v>25</v>
      </c>
      <c r="F52" s="20">
        <f>+C42+C43+C44+C49+C51</f>
        <v>275.12</v>
      </c>
      <c r="G52" s="20">
        <v>272.56</v>
      </c>
      <c r="H52" s="10"/>
      <c r="I52" s="10"/>
    </row>
    <row r="53" spans="1:9" x14ac:dyDescent="0.2">
      <c r="A53" s="10">
        <v>20594</v>
      </c>
      <c r="B53" s="11">
        <v>42588</v>
      </c>
      <c r="C53" s="12">
        <v>272</v>
      </c>
      <c r="D53" s="12">
        <v>20.73</v>
      </c>
      <c r="E53" s="13"/>
      <c r="H53" s="12"/>
      <c r="I53" s="10"/>
    </row>
    <row r="54" spans="1:9" x14ac:dyDescent="0.2">
      <c r="A54" s="10">
        <v>20595</v>
      </c>
      <c r="B54" s="11">
        <v>42588</v>
      </c>
      <c r="C54" s="12">
        <v>169.83999999999997</v>
      </c>
      <c r="D54" s="12">
        <v>12.94</v>
      </c>
      <c r="E54" s="17"/>
      <c r="F54" s="18"/>
      <c r="G54" s="19"/>
      <c r="H54" s="12"/>
      <c r="I54" s="10"/>
    </row>
    <row r="55" spans="1:9" x14ac:dyDescent="0.2">
      <c r="A55" s="10">
        <v>20596</v>
      </c>
      <c r="B55" s="11">
        <v>42588</v>
      </c>
      <c r="C55" s="12">
        <v>260</v>
      </c>
      <c r="D55" s="12">
        <v>19.809999999999999</v>
      </c>
      <c r="E55" s="17"/>
      <c r="H55" s="12"/>
      <c r="I55" s="10"/>
    </row>
    <row r="56" spans="1:9" x14ac:dyDescent="0.2">
      <c r="A56" s="10">
        <v>20597</v>
      </c>
      <c r="B56" s="11">
        <v>42588</v>
      </c>
      <c r="C56" s="12">
        <v>68.05</v>
      </c>
      <c r="D56" s="12"/>
      <c r="E56" s="13" t="s">
        <v>235</v>
      </c>
      <c r="F56" s="18"/>
      <c r="G56" s="19"/>
      <c r="H56" s="12"/>
      <c r="I56" s="10"/>
    </row>
    <row r="57" spans="1:9" x14ac:dyDescent="0.2">
      <c r="A57" s="10">
        <v>20598</v>
      </c>
      <c r="B57" s="11">
        <v>42588</v>
      </c>
      <c r="C57" s="12">
        <v>9</v>
      </c>
      <c r="D57" s="12"/>
      <c r="E57" s="15" t="s">
        <v>229</v>
      </c>
      <c r="F57" s="21"/>
      <c r="G57" s="22"/>
      <c r="H57" s="10"/>
      <c r="I57" s="10"/>
    </row>
    <row r="58" spans="1:9" x14ac:dyDescent="0.2">
      <c r="A58" s="10">
        <v>20599</v>
      </c>
      <c r="B58" s="11">
        <v>42588</v>
      </c>
      <c r="C58" s="12">
        <v>23</v>
      </c>
      <c r="D58" s="12"/>
      <c r="E58" s="13" t="s">
        <v>235</v>
      </c>
      <c r="F58" s="18"/>
      <c r="G58" s="19"/>
      <c r="H58" s="12"/>
      <c r="I58" s="10"/>
    </row>
    <row r="59" spans="1:9" x14ac:dyDescent="0.2">
      <c r="A59" s="10">
        <v>20600</v>
      </c>
      <c r="B59" s="11">
        <v>42588</v>
      </c>
      <c r="C59" s="12">
        <v>0</v>
      </c>
      <c r="D59" s="12"/>
      <c r="E59" s="15" t="s">
        <v>7</v>
      </c>
      <c r="H59" s="10"/>
      <c r="I59" s="10"/>
    </row>
    <row r="60" spans="1:9" x14ac:dyDescent="0.2">
      <c r="A60" s="10">
        <v>20601</v>
      </c>
      <c r="B60" s="11">
        <v>42588</v>
      </c>
      <c r="C60" s="12">
        <v>115.28999999999999</v>
      </c>
      <c r="D60" s="12">
        <v>8.7899999999999991</v>
      </c>
      <c r="E60" s="15" t="s">
        <v>7</v>
      </c>
      <c r="F60" s="21"/>
      <c r="G60" s="22"/>
      <c r="H60" s="10"/>
      <c r="I60" s="10"/>
    </row>
    <row r="61" spans="1:9" x14ac:dyDescent="0.2">
      <c r="A61" s="10">
        <v>20602</v>
      </c>
      <c r="B61" s="11">
        <v>42588</v>
      </c>
      <c r="C61" s="12">
        <v>245.84</v>
      </c>
      <c r="D61" s="12">
        <v>18.739999999999998</v>
      </c>
      <c r="E61" s="15" t="s">
        <v>7</v>
      </c>
      <c r="H61" s="10"/>
      <c r="I61" s="10"/>
    </row>
    <row r="62" spans="1:9" x14ac:dyDescent="0.2">
      <c r="A62" s="10">
        <v>20603</v>
      </c>
      <c r="B62" s="11">
        <v>42588</v>
      </c>
      <c r="C62" s="12">
        <v>28.004275</v>
      </c>
      <c r="D62" s="12">
        <v>2.1342750000000001</v>
      </c>
      <c r="E62" s="17"/>
      <c r="F62" s="20">
        <f>200+C60+C61</f>
        <v>561.13</v>
      </c>
      <c r="G62" s="20">
        <v>555.25</v>
      </c>
      <c r="H62" s="12"/>
      <c r="I62" s="10"/>
    </row>
    <row r="63" spans="1:9" x14ac:dyDescent="0.2">
      <c r="A63" s="10">
        <v>20604</v>
      </c>
      <c r="B63" s="11">
        <v>42590</v>
      </c>
      <c r="C63" s="12">
        <v>199.72</v>
      </c>
      <c r="D63" s="12">
        <v>15.22</v>
      </c>
      <c r="E63" s="13" t="s">
        <v>734</v>
      </c>
      <c r="H63" s="12"/>
      <c r="I63" s="10"/>
    </row>
    <row r="64" spans="1:9" x14ac:dyDescent="0.2">
      <c r="A64" s="10">
        <v>20605</v>
      </c>
      <c r="B64" s="11">
        <v>42590</v>
      </c>
      <c r="C64" s="12">
        <v>7.5</v>
      </c>
      <c r="D64" s="12"/>
      <c r="E64" s="15" t="s">
        <v>735</v>
      </c>
      <c r="H64" s="10"/>
      <c r="I64" s="10"/>
    </row>
    <row r="65" spans="1:9" x14ac:dyDescent="0.2">
      <c r="A65" s="10">
        <v>20606</v>
      </c>
      <c r="B65" s="11">
        <v>42590</v>
      </c>
      <c r="C65" s="12">
        <v>17</v>
      </c>
      <c r="D65" s="12"/>
      <c r="E65" s="15" t="s">
        <v>280</v>
      </c>
      <c r="H65" s="10"/>
      <c r="I65" s="10"/>
    </row>
    <row r="66" spans="1:9" x14ac:dyDescent="0.2">
      <c r="A66" s="10">
        <v>20607</v>
      </c>
      <c r="B66" s="11">
        <v>42590</v>
      </c>
      <c r="C66" s="12">
        <v>130</v>
      </c>
      <c r="D66" s="12">
        <v>9.91</v>
      </c>
      <c r="E66" s="13" t="s">
        <v>736</v>
      </c>
      <c r="H66" s="12"/>
      <c r="I66" s="10"/>
    </row>
    <row r="67" spans="1:9" x14ac:dyDescent="0.2">
      <c r="A67" s="10">
        <v>20608</v>
      </c>
      <c r="B67" s="11">
        <v>42590</v>
      </c>
      <c r="C67" s="12">
        <v>4.33</v>
      </c>
      <c r="D67" s="12">
        <v>0.33</v>
      </c>
      <c r="E67" s="15" t="s">
        <v>11</v>
      </c>
      <c r="F67" s="21"/>
      <c r="G67" s="22"/>
      <c r="H67" s="10"/>
      <c r="I67" s="10"/>
    </row>
    <row r="68" spans="1:9" x14ac:dyDescent="0.2">
      <c r="A68" s="10">
        <v>20609</v>
      </c>
      <c r="B68" s="11">
        <v>42590</v>
      </c>
      <c r="C68" s="12">
        <v>110</v>
      </c>
      <c r="D68" s="12"/>
      <c r="E68" s="15" t="s">
        <v>16</v>
      </c>
      <c r="F68" s="21"/>
      <c r="G68" s="22"/>
      <c r="H68" s="10"/>
      <c r="I68" s="10"/>
    </row>
    <row r="69" spans="1:9" x14ac:dyDescent="0.2">
      <c r="A69" s="10">
        <v>20610</v>
      </c>
      <c r="B69" s="11">
        <v>42590</v>
      </c>
      <c r="C69" s="12">
        <v>49</v>
      </c>
      <c r="D69" s="12"/>
      <c r="E69" s="15" t="s">
        <v>16</v>
      </c>
      <c r="H69" s="10"/>
      <c r="I69" s="10"/>
    </row>
    <row r="70" spans="1:9" x14ac:dyDescent="0.2">
      <c r="A70" s="10">
        <v>20611</v>
      </c>
      <c r="B70" s="11">
        <v>42590</v>
      </c>
      <c r="C70" s="12">
        <v>101.83</v>
      </c>
      <c r="D70" s="12"/>
      <c r="E70" s="15" t="s">
        <v>229</v>
      </c>
      <c r="F70" s="21"/>
      <c r="G70" s="22"/>
      <c r="H70" s="10"/>
      <c r="I70" s="10"/>
    </row>
    <row r="71" spans="1:9" x14ac:dyDescent="0.2">
      <c r="A71" s="10">
        <v>20612</v>
      </c>
      <c r="B71" s="11">
        <v>42590</v>
      </c>
      <c r="C71" s="12">
        <v>121</v>
      </c>
      <c r="D71" s="12">
        <v>9.2200000000000006</v>
      </c>
      <c r="E71" s="13"/>
      <c r="F71" s="18"/>
      <c r="G71" s="19"/>
      <c r="H71" s="12"/>
      <c r="I71" s="10"/>
    </row>
    <row r="72" spans="1:9" x14ac:dyDescent="0.2">
      <c r="A72" s="10">
        <v>20613</v>
      </c>
      <c r="B72" s="11">
        <v>42590</v>
      </c>
      <c r="C72" s="12"/>
      <c r="D72" s="12"/>
      <c r="E72" s="15" t="s">
        <v>737</v>
      </c>
      <c r="H72" s="10"/>
      <c r="I72" s="10"/>
    </row>
    <row r="73" spans="1:9" x14ac:dyDescent="0.2">
      <c r="A73" s="10">
        <v>20614</v>
      </c>
      <c r="B73" s="11">
        <v>42590</v>
      </c>
      <c r="C73" s="12">
        <v>316.08999999999997</v>
      </c>
      <c r="D73" s="12">
        <v>24.09</v>
      </c>
      <c r="E73" s="15"/>
      <c r="F73" s="20">
        <f>+-200+C64+C65+C67+99.072+0.65</f>
        <v>-71.447999999999979</v>
      </c>
      <c r="G73" s="20">
        <v>-73.17</v>
      </c>
      <c r="H73" s="10"/>
      <c r="I73" s="10"/>
    </row>
    <row r="74" spans="1:9" x14ac:dyDescent="0.2">
      <c r="A74" s="10">
        <v>20615</v>
      </c>
      <c r="B74" s="11">
        <v>42591</v>
      </c>
      <c r="C74" s="12">
        <v>136.4</v>
      </c>
      <c r="D74" s="12">
        <v>10.4</v>
      </c>
      <c r="E74" s="17"/>
      <c r="H74" s="12"/>
      <c r="I74" s="10"/>
    </row>
    <row r="75" spans="1:9" x14ac:dyDescent="0.2">
      <c r="A75" s="10">
        <v>20616</v>
      </c>
      <c r="B75" s="11">
        <v>42591</v>
      </c>
      <c r="C75" s="12">
        <v>24.5</v>
      </c>
      <c r="D75" s="12"/>
      <c r="E75" s="15" t="s">
        <v>533</v>
      </c>
      <c r="I75" s="10"/>
    </row>
    <row r="76" spans="1:9" x14ac:dyDescent="0.2">
      <c r="A76" s="10">
        <v>20617</v>
      </c>
      <c r="B76" s="11">
        <v>42591</v>
      </c>
      <c r="C76" s="12">
        <v>166.71</v>
      </c>
      <c r="D76" s="12">
        <v>12.71</v>
      </c>
      <c r="E76" s="17"/>
      <c r="F76" s="18"/>
      <c r="G76" s="19"/>
      <c r="H76" s="12"/>
      <c r="I76" s="10"/>
    </row>
    <row r="77" spans="1:9" x14ac:dyDescent="0.2">
      <c r="A77" s="10">
        <v>20618</v>
      </c>
      <c r="B77" s="11">
        <v>42591</v>
      </c>
      <c r="C77" s="12">
        <v>25.98</v>
      </c>
      <c r="D77" s="12">
        <v>1.98</v>
      </c>
      <c r="E77" s="17"/>
      <c r="F77" s="18"/>
      <c r="G77" s="19"/>
      <c r="H77" s="12"/>
      <c r="I77" s="10"/>
    </row>
    <row r="78" spans="1:9" x14ac:dyDescent="0.2">
      <c r="A78" s="10">
        <v>20619</v>
      </c>
      <c r="B78" s="11">
        <v>42591</v>
      </c>
      <c r="C78" s="12">
        <v>383.35</v>
      </c>
      <c r="D78" s="12">
        <v>29.22</v>
      </c>
      <c r="E78" s="15" t="s">
        <v>738</v>
      </c>
      <c r="F78" s="21"/>
      <c r="G78" s="22"/>
      <c r="H78" s="10"/>
      <c r="I78" s="10"/>
    </row>
    <row r="79" spans="1:9" x14ac:dyDescent="0.2">
      <c r="A79" s="10">
        <v>20620</v>
      </c>
      <c r="B79" s="11">
        <v>42591</v>
      </c>
      <c r="C79" s="12">
        <v>48.71</v>
      </c>
      <c r="D79" s="12">
        <v>3.71</v>
      </c>
      <c r="E79" s="15" t="s">
        <v>533</v>
      </c>
      <c r="F79" s="20">
        <v>107.71</v>
      </c>
      <c r="G79" s="20">
        <v>104.75</v>
      </c>
      <c r="H79" s="114"/>
      <c r="I79" s="10"/>
    </row>
    <row r="80" spans="1:9" x14ac:dyDescent="0.2">
      <c r="A80" s="10">
        <v>20621</v>
      </c>
      <c r="B80" s="11">
        <v>42592</v>
      </c>
      <c r="C80" s="12">
        <v>19</v>
      </c>
      <c r="D80" s="12"/>
      <c r="E80" s="17"/>
      <c r="F80" s="18"/>
      <c r="G80" s="19"/>
      <c r="H80" s="12"/>
      <c r="I80" s="10"/>
    </row>
    <row r="81" spans="1:9" x14ac:dyDescent="0.2">
      <c r="A81" s="10">
        <v>20622</v>
      </c>
      <c r="B81" s="11">
        <v>42592</v>
      </c>
      <c r="C81" s="12">
        <v>36</v>
      </c>
      <c r="D81" s="12">
        <v>2.74</v>
      </c>
      <c r="E81" s="17"/>
      <c r="F81" s="18"/>
      <c r="G81" s="19"/>
      <c r="H81" s="12"/>
      <c r="I81" s="10"/>
    </row>
    <row r="82" spans="1:9" x14ac:dyDescent="0.2">
      <c r="A82" s="10">
        <v>20623</v>
      </c>
      <c r="B82" s="11">
        <v>42592</v>
      </c>
      <c r="C82" s="12">
        <v>2.17</v>
      </c>
      <c r="D82" s="12">
        <v>0.17</v>
      </c>
      <c r="E82" s="17"/>
      <c r="H82" s="12"/>
      <c r="I82" s="10"/>
    </row>
    <row r="83" spans="1:9" x14ac:dyDescent="0.2">
      <c r="A83" s="10">
        <v>20624</v>
      </c>
      <c r="B83" s="11">
        <v>42592</v>
      </c>
      <c r="C83" s="12">
        <v>410</v>
      </c>
      <c r="D83" s="12"/>
      <c r="E83" s="15" t="s">
        <v>739</v>
      </c>
      <c r="I83" s="10"/>
    </row>
    <row r="84" spans="1:9" x14ac:dyDescent="0.2">
      <c r="A84" s="10">
        <v>20625</v>
      </c>
      <c r="B84" s="11">
        <v>42592</v>
      </c>
      <c r="C84" s="12">
        <v>391.9083</v>
      </c>
      <c r="D84" s="12">
        <v>29.868300000000001</v>
      </c>
      <c r="E84" s="15" t="s">
        <v>740</v>
      </c>
      <c r="I84" s="10"/>
    </row>
    <row r="85" spans="1:9" x14ac:dyDescent="0.2">
      <c r="A85" s="10">
        <v>20626</v>
      </c>
      <c r="B85" s="11">
        <v>42592</v>
      </c>
      <c r="C85" s="12">
        <v>14.26</v>
      </c>
      <c r="D85" s="12"/>
      <c r="E85" s="15" t="s">
        <v>16</v>
      </c>
      <c r="I85" s="10"/>
    </row>
    <row r="86" spans="1:9" x14ac:dyDescent="0.2">
      <c r="A86" s="10">
        <v>20627</v>
      </c>
      <c r="B86" s="11">
        <v>42592</v>
      </c>
      <c r="C86" s="12">
        <v>257.64</v>
      </c>
      <c r="D86" s="12">
        <v>19.64</v>
      </c>
      <c r="E86" s="13" t="s">
        <v>741</v>
      </c>
      <c r="I86" s="10"/>
    </row>
    <row r="87" spans="1:9" x14ac:dyDescent="0.2">
      <c r="A87" s="10">
        <v>20628</v>
      </c>
      <c r="B87" s="11">
        <v>42592</v>
      </c>
      <c r="C87" s="12">
        <v>67</v>
      </c>
      <c r="D87" s="12"/>
      <c r="E87" s="13" t="s">
        <v>235</v>
      </c>
      <c r="F87" s="20">
        <v>856.77</v>
      </c>
      <c r="G87" s="20">
        <v>833.21</v>
      </c>
      <c r="H87" s="114"/>
      <c r="I87" s="10"/>
    </row>
    <row r="88" spans="1:9" x14ac:dyDescent="0.2">
      <c r="A88" s="10">
        <v>20629</v>
      </c>
      <c r="B88" s="11">
        <v>42593</v>
      </c>
      <c r="C88" s="12">
        <v>136</v>
      </c>
      <c r="D88" s="12">
        <v>10.36</v>
      </c>
      <c r="E88" s="15" t="s">
        <v>21</v>
      </c>
      <c r="H88" s="10"/>
      <c r="I88" s="10"/>
    </row>
    <row r="89" spans="1:9" x14ac:dyDescent="0.2">
      <c r="A89" s="10">
        <v>20630</v>
      </c>
      <c r="B89" s="11">
        <v>42593</v>
      </c>
      <c r="C89" s="12">
        <v>10</v>
      </c>
      <c r="D89" s="12">
        <v>0.76</v>
      </c>
      <c r="E89" s="17"/>
      <c r="F89" s="18"/>
      <c r="G89" s="19"/>
      <c r="H89" s="12"/>
      <c r="I89" s="10"/>
    </row>
    <row r="90" spans="1:9" x14ac:dyDescent="0.2">
      <c r="A90" s="10">
        <v>20631</v>
      </c>
      <c r="B90" s="11">
        <v>42593</v>
      </c>
      <c r="C90" s="12">
        <v>14.4</v>
      </c>
      <c r="D90" s="12">
        <v>1.1000000000000001</v>
      </c>
      <c r="E90" s="17"/>
      <c r="F90" s="18"/>
      <c r="G90" s="19"/>
      <c r="H90" s="12"/>
      <c r="I90" s="10"/>
    </row>
    <row r="91" spans="1:9" x14ac:dyDescent="0.2">
      <c r="A91" s="10">
        <v>20632</v>
      </c>
      <c r="B91" s="11">
        <v>42593</v>
      </c>
      <c r="C91" s="12">
        <v>15.950000000000001</v>
      </c>
      <c r="D91" s="12"/>
      <c r="E91" s="15" t="s">
        <v>16</v>
      </c>
      <c r="F91" s="21"/>
      <c r="G91" s="22"/>
      <c r="H91" s="10"/>
      <c r="I91" s="10"/>
    </row>
    <row r="92" spans="1:9" x14ac:dyDescent="0.2">
      <c r="A92" s="10">
        <v>20633</v>
      </c>
      <c r="B92" s="11">
        <v>42593</v>
      </c>
      <c r="C92" s="12">
        <v>10.83</v>
      </c>
      <c r="D92" s="12">
        <v>0.83</v>
      </c>
      <c r="E92" s="15" t="s">
        <v>742</v>
      </c>
      <c r="F92" s="21"/>
      <c r="G92" s="22"/>
      <c r="H92" s="10"/>
      <c r="I92" s="10"/>
    </row>
    <row r="93" spans="1:9" x14ac:dyDescent="0.2">
      <c r="A93" s="10">
        <v>20634</v>
      </c>
      <c r="B93" s="11">
        <v>42593</v>
      </c>
      <c r="C93" s="12">
        <v>31.18</v>
      </c>
      <c r="D93" s="12">
        <v>2.38</v>
      </c>
      <c r="E93" s="17"/>
      <c r="H93" s="12"/>
      <c r="I93" s="10"/>
    </row>
    <row r="94" spans="1:9" x14ac:dyDescent="0.2">
      <c r="A94" s="10">
        <v>20635</v>
      </c>
      <c r="B94" s="11">
        <v>42593</v>
      </c>
      <c r="C94" s="12">
        <v>229</v>
      </c>
      <c r="D94" s="12">
        <v>17.45</v>
      </c>
      <c r="E94" s="17"/>
      <c r="F94" s="20">
        <v>0</v>
      </c>
      <c r="G94" s="20">
        <f>+F94*0.97831</f>
        <v>0</v>
      </c>
      <c r="H94" s="12"/>
      <c r="I94" s="10"/>
    </row>
    <row r="95" spans="1:9" x14ac:dyDescent="0.2">
      <c r="A95" s="10">
        <v>20636</v>
      </c>
      <c r="B95" s="11">
        <v>42594</v>
      </c>
      <c r="C95" s="12">
        <v>164.54</v>
      </c>
      <c r="D95" s="12">
        <v>12.54</v>
      </c>
      <c r="E95" s="15" t="s">
        <v>533</v>
      </c>
      <c r="I95" s="10"/>
    </row>
    <row r="96" spans="1:9" x14ac:dyDescent="0.2">
      <c r="A96" s="10">
        <v>20637</v>
      </c>
      <c r="B96" s="11">
        <v>42594</v>
      </c>
      <c r="C96" s="12">
        <v>302.59000000000003</v>
      </c>
      <c r="D96" s="12"/>
      <c r="E96" s="15" t="s">
        <v>229</v>
      </c>
      <c r="F96" s="21"/>
      <c r="G96" s="22"/>
      <c r="H96" s="10"/>
      <c r="I96" s="10"/>
    </row>
    <row r="97" spans="1:9" x14ac:dyDescent="0.2">
      <c r="A97" s="10">
        <v>20638</v>
      </c>
      <c r="B97" s="11">
        <v>42594</v>
      </c>
      <c r="C97" s="12">
        <v>180.7</v>
      </c>
      <c r="D97" s="12"/>
      <c r="E97" s="15" t="s">
        <v>229</v>
      </c>
      <c r="I97" s="10"/>
    </row>
    <row r="98" spans="1:9" x14ac:dyDescent="0.2">
      <c r="A98" s="10">
        <v>20639</v>
      </c>
      <c r="B98" s="11">
        <v>42594</v>
      </c>
      <c r="C98" s="12">
        <v>272.79000000000002</v>
      </c>
      <c r="D98" s="12">
        <v>20.79</v>
      </c>
      <c r="E98" s="15" t="s">
        <v>11</v>
      </c>
      <c r="I98" s="10"/>
    </row>
    <row r="99" spans="1:9" x14ac:dyDescent="0.2">
      <c r="A99" s="10">
        <v>20640</v>
      </c>
      <c r="B99" s="11">
        <v>42594</v>
      </c>
      <c r="C99" s="12">
        <v>145.06</v>
      </c>
      <c r="D99" s="12">
        <v>11.06</v>
      </c>
      <c r="E99" s="15" t="s">
        <v>11</v>
      </c>
      <c r="I99" s="10"/>
    </row>
    <row r="100" spans="1:9" x14ac:dyDescent="0.2">
      <c r="A100" s="10">
        <v>20641</v>
      </c>
      <c r="B100" s="11">
        <v>42594</v>
      </c>
      <c r="C100" s="12">
        <v>253.31</v>
      </c>
      <c r="D100" s="12">
        <v>19.309999999999999</v>
      </c>
      <c r="E100" s="15" t="s">
        <v>743</v>
      </c>
      <c r="I100" s="10"/>
    </row>
    <row r="101" spans="1:9" x14ac:dyDescent="0.2">
      <c r="A101" s="10">
        <v>20642</v>
      </c>
      <c r="B101" s="11">
        <v>42594</v>
      </c>
      <c r="C101" s="12">
        <v>50</v>
      </c>
      <c r="D101" s="12">
        <v>3.81</v>
      </c>
      <c r="E101" s="17"/>
      <c r="F101" s="18"/>
      <c r="G101" s="19"/>
      <c r="H101" s="12"/>
      <c r="I101" s="10"/>
    </row>
    <row r="102" spans="1:9" x14ac:dyDescent="0.2">
      <c r="A102" s="10">
        <v>20643</v>
      </c>
      <c r="B102" s="11">
        <v>42594</v>
      </c>
      <c r="C102" s="12">
        <v>51.850000000000009</v>
      </c>
      <c r="D102" s="12">
        <v>3.95</v>
      </c>
      <c r="E102" s="15" t="s">
        <v>13</v>
      </c>
      <c r="I102" s="10"/>
    </row>
    <row r="103" spans="1:9" x14ac:dyDescent="0.2">
      <c r="A103" s="10">
        <v>20644</v>
      </c>
      <c r="B103" s="11">
        <v>42594</v>
      </c>
      <c r="C103" s="12">
        <v>30</v>
      </c>
      <c r="D103" s="12"/>
      <c r="E103" s="13" t="s">
        <v>19</v>
      </c>
      <c r="F103" s="20">
        <f>+C98+C102+C99+164.54</f>
        <v>634.24</v>
      </c>
      <c r="G103" s="20">
        <f>460.04+160.02</f>
        <v>620.06000000000006</v>
      </c>
      <c r="H103" s="114"/>
      <c r="I103" s="10"/>
    </row>
    <row r="104" spans="1:9" x14ac:dyDescent="0.2">
      <c r="A104" s="10">
        <v>20645</v>
      </c>
      <c r="B104" s="11">
        <v>42595</v>
      </c>
      <c r="C104" s="12">
        <v>41.14</v>
      </c>
      <c r="D104" s="12">
        <v>3.14</v>
      </c>
      <c r="E104" s="15" t="s">
        <v>7</v>
      </c>
      <c r="H104" s="10"/>
      <c r="I104" s="10"/>
    </row>
    <row r="105" spans="1:9" x14ac:dyDescent="0.2">
      <c r="A105" s="10">
        <v>20646</v>
      </c>
      <c r="B105" s="11">
        <v>42595</v>
      </c>
      <c r="C105" s="12">
        <v>131.52000000000001</v>
      </c>
      <c r="D105" s="12">
        <v>10.02</v>
      </c>
      <c r="E105" s="17"/>
      <c r="F105" s="18"/>
      <c r="G105" s="19"/>
      <c r="H105" s="12"/>
      <c r="I105" s="10"/>
    </row>
    <row r="106" spans="1:9" x14ac:dyDescent="0.2">
      <c r="A106" s="10">
        <v>20647</v>
      </c>
      <c r="B106" s="11">
        <v>42595</v>
      </c>
      <c r="C106" s="12">
        <v>24.9</v>
      </c>
      <c r="D106" s="12">
        <v>1.9</v>
      </c>
      <c r="E106" s="15" t="s">
        <v>11</v>
      </c>
      <c r="I106" s="10"/>
    </row>
    <row r="107" spans="1:9" x14ac:dyDescent="0.2">
      <c r="A107" s="10">
        <v>20648</v>
      </c>
      <c r="B107" s="11">
        <v>42595</v>
      </c>
      <c r="C107" s="12">
        <v>48</v>
      </c>
      <c r="D107" s="12">
        <v>3.66</v>
      </c>
      <c r="E107" s="17"/>
      <c r="F107" s="115"/>
      <c r="G107" s="115"/>
      <c r="I107" s="10"/>
    </row>
    <row r="108" spans="1:9" x14ac:dyDescent="0.2">
      <c r="A108" s="10">
        <v>20649</v>
      </c>
      <c r="B108" s="11">
        <v>42595</v>
      </c>
      <c r="C108" s="12">
        <v>75</v>
      </c>
      <c r="D108" s="12">
        <v>5.72</v>
      </c>
      <c r="E108" s="17"/>
      <c r="F108" s="18"/>
      <c r="G108" s="19"/>
      <c r="H108" s="12"/>
      <c r="I108" s="10"/>
    </row>
    <row r="109" spans="1:9" x14ac:dyDescent="0.2">
      <c r="A109" s="10">
        <v>20650</v>
      </c>
      <c r="B109" s="11">
        <v>42595</v>
      </c>
      <c r="C109" s="12">
        <v>69.28</v>
      </c>
      <c r="D109" s="12">
        <v>5.28</v>
      </c>
      <c r="E109" s="17"/>
      <c r="I109" s="10"/>
    </row>
    <row r="110" spans="1:9" x14ac:dyDescent="0.2">
      <c r="A110" s="10">
        <v>20651</v>
      </c>
      <c r="B110" s="11">
        <v>42595</v>
      </c>
      <c r="C110" s="12">
        <v>299.85000000000002</v>
      </c>
      <c r="D110" s="12">
        <v>22.85</v>
      </c>
      <c r="E110" s="15" t="s">
        <v>533</v>
      </c>
      <c r="I110" s="10"/>
    </row>
    <row r="111" spans="1:9" x14ac:dyDescent="0.2">
      <c r="A111" s="10">
        <v>20652</v>
      </c>
      <c r="B111" s="11">
        <v>42595</v>
      </c>
      <c r="C111" s="12">
        <v>54</v>
      </c>
      <c r="D111" s="12"/>
      <c r="E111" s="15" t="s">
        <v>19</v>
      </c>
      <c r="I111" s="10"/>
    </row>
    <row r="112" spans="1:9" x14ac:dyDescent="0.2">
      <c r="A112" s="10">
        <v>20653</v>
      </c>
      <c r="B112" s="11">
        <v>42595</v>
      </c>
      <c r="C112" s="12">
        <v>64.95</v>
      </c>
      <c r="D112" s="12">
        <v>4.95</v>
      </c>
      <c r="E112" s="17"/>
      <c r="I112" s="10"/>
    </row>
    <row r="113" spans="1:9" x14ac:dyDescent="0.2">
      <c r="A113" s="10">
        <v>20654</v>
      </c>
      <c r="B113" s="11">
        <v>42595</v>
      </c>
      <c r="C113" s="12">
        <v>117.99</v>
      </c>
      <c r="D113" s="12">
        <v>8.99</v>
      </c>
      <c r="E113" s="17"/>
      <c r="F113" s="20">
        <f>329.44+C104+C106+C111+502.98</f>
        <v>952.46</v>
      </c>
      <c r="G113" s="20">
        <f>440.8+489.14</f>
        <v>929.94</v>
      </c>
      <c r="H113" s="114"/>
      <c r="I113" s="10"/>
    </row>
    <row r="114" spans="1:9" x14ac:dyDescent="0.2">
      <c r="A114" s="10">
        <v>20655</v>
      </c>
      <c r="B114" s="11">
        <v>42597</v>
      </c>
      <c r="C114" s="12">
        <v>19</v>
      </c>
      <c r="D114" s="12"/>
      <c r="E114" s="17"/>
      <c r="F114" s="18"/>
      <c r="G114" s="19"/>
      <c r="H114" s="12"/>
      <c r="I114" s="10"/>
    </row>
    <row r="115" spans="1:9" x14ac:dyDescent="0.2">
      <c r="A115" s="10">
        <v>20656</v>
      </c>
      <c r="B115" s="11">
        <v>42597</v>
      </c>
      <c r="C115" s="12">
        <v>86.52000000000001</v>
      </c>
      <c r="D115" s="12">
        <v>6.59</v>
      </c>
      <c r="E115" s="17"/>
      <c r="H115" s="12"/>
      <c r="I115" s="10"/>
    </row>
    <row r="116" spans="1:9" x14ac:dyDescent="0.2">
      <c r="A116" s="10">
        <v>20657</v>
      </c>
      <c r="B116" s="11">
        <v>42597</v>
      </c>
      <c r="C116" s="12">
        <v>96.34</v>
      </c>
      <c r="D116" s="12">
        <v>7.34</v>
      </c>
      <c r="E116" s="17"/>
      <c r="H116" s="12"/>
      <c r="I116" s="10"/>
    </row>
    <row r="117" spans="1:9" x14ac:dyDescent="0.2">
      <c r="A117" s="10">
        <v>20658</v>
      </c>
      <c r="B117" s="11">
        <v>42597</v>
      </c>
      <c r="C117" s="12">
        <v>44.38</v>
      </c>
      <c r="D117" s="12">
        <v>3.38</v>
      </c>
      <c r="E117" s="15" t="s">
        <v>11</v>
      </c>
      <c r="F117" s="21"/>
      <c r="G117" s="22"/>
      <c r="H117" s="10"/>
      <c r="I117" s="10"/>
    </row>
    <row r="118" spans="1:9" x14ac:dyDescent="0.2">
      <c r="A118" s="10">
        <v>20659</v>
      </c>
      <c r="B118" s="11">
        <v>42597</v>
      </c>
      <c r="C118" s="12">
        <v>48</v>
      </c>
      <c r="D118" s="12"/>
      <c r="E118" s="15" t="s">
        <v>21</v>
      </c>
      <c r="F118" s="21"/>
      <c r="G118" s="22"/>
      <c r="H118" s="10"/>
      <c r="I118" s="10"/>
    </row>
    <row r="119" spans="1:9" x14ac:dyDescent="0.2">
      <c r="A119" s="10">
        <v>20660</v>
      </c>
      <c r="B119" s="11">
        <v>42597</v>
      </c>
      <c r="C119" s="12">
        <v>9.74</v>
      </c>
      <c r="D119" s="12">
        <v>0.74</v>
      </c>
      <c r="E119" s="13"/>
      <c r="F119" s="18"/>
      <c r="G119" s="19"/>
      <c r="H119" s="12"/>
      <c r="I119" s="10"/>
    </row>
    <row r="120" spans="1:9" x14ac:dyDescent="0.2">
      <c r="A120" s="10">
        <v>20661</v>
      </c>
      <c r="B120" s="11">
        <v>42597</v>
      </c>
      <c r="C120" s="12">
        <v>362.64</v>
      </c>
      <c r="D120" s="12">
        <v>27.64</v>
      </c>
      <c r="E120" s="15" t="s">
        <v>744</v>
      </c>
      <c r="F120" s="21"/>
      <c r="G120" s="22"/>
      <c r="H120" s="10"/>
      <c r="I120" s="10"/>
    </row>
    <row r="121" spans="1:9" x14ac:dyDescent="0.2">
      <c r="A121" s="10">
        <v>20662</v>
      </c>
      <c r="B121" s="11">
        <v>42597</v>
      </c>
      <c r="C121" s="12">
        <v>59.54</v>
      </c>
      <c r="D121" s="12">
        <v>4.54</v>
      </c>
      <c r="E121" s="15" t="s">
        <v>11</v>
      </c>
      <c r="H121" s="10"/>
      <c r="I121" s="10"/>
    </row>
    <row r="122" spans="1:9" x14ac:dyDescent="0.2">
      <c r="A122" s="10">
        <v>20663</v>
      </c>
      <c r="B122" s="11">
        <v>42597</v>
      </c>
      <c r="C122" s="12">
        <v>60</v>
      </c>
      <c r="D122" s="12"/>
      <c r="E122" s="15" t="s">
        <v>21</v>
      </c>
      <c r="F122" s="21"/>
      <c r="G122" s="22"/>
      <c r="H122" s="10"/>
      <c r="I122" s="10"/>
    </row>
    <row r="123" spans="1:9" x14ac:dyDescent="0.2">
      <c r="A123" s="10">
        <v>20664</v>
      </c>
      <c r="B123" s="11">
        <v>42597</v>
      </c>
      <c r="C123" s="12">
        <v>182.94</v>
      </c>
      <c r="D123" s="12">
        <v>13.94</v>
      </c>
      <c r="E123" s="15" t="s">
        <v>21</v>
      </c>
      <c r="F123" s="21"/>
      <c r="G123" s="22"/>
      <c r="H123" s="10"/>
      <c r="I123" s="10"/>
    </row>
    <row r="124" spans="1:9" x14ac:dyDescent="0.2">
      <c r="A124" s="10">
        <v>20665</v>
      </c>
      <c r="B124" s="11">
        <v>42597</v>
      </c>
      <c r="C124" s="12">
        <v>24.9</v>
      </c>
      <c r="D124" s="12">
        <v>1.9</v>
      </c>
      <c r="E124" s="17"/>
      <c r="F124" s="20">
        <f>+C117+180+C121</f>
        <v>283.92</v>
      </c>
      <c r="G124" s="20">
        <v>281.41000000000003</v>
      </c>
      <c r="H124" s="12"/>
      <c r="I124" s="10"/>
    </row>
    <row r="125" spans="1:9" x14ac:dyDescent="0.2">
      <c r="A125" s="10">
        <v>20666</v>
      </c>
      <c r="B125" s="11">
        <v>42598</v>
      </c>
      <c r="C125" s="12">
        <v>43.19</v>
      </c>
      <c r="D125" s="12">
        <v>3.29</v>
      </c>
      <c r="E125" s="17"/>
      <c r="F125" s="18"/>
      <c r="G125" s="19"/>
      <c r="H125" s="12"/>
      <c r="I125" s="10"/>
    </row>
    <row r="126" spans="1:9" x14ac:dyDescent="0.2">
      <c r="A126" s="10">
        <v>20667</v>
      </c>
      <c r="B126" s="11">
        <v>42598</v>
      </c>
      <c r="C126" s="12">
        <v>64.95</v>
      </c>
      <c r="D126" s="12">
        <v>4.95</v>
      </c>
      <c r="E126" s="17"/>
      <c r="I126" s="10"/>
    </row>
    <row r="127" spans="1:9" x14ac:dyDescent="0.2">
      <c r="A127" s="10">
        <v>20668</v>
      </c>
      <c r="B127" s="11">
        <v>42598</v>
      </c>
      <c r="C127" s="12">
        <v>1270.8599999999999</v>
      </c>
      <c r="D127" s="12">
        <v>96.86</v>
      </c>
      <c r="E127" s="13" t="s">
        <v>745</v>
      </c>
      <c r="I127" s="10"/>
    </row>
    <row r="128" spans="1:9" x14ac:dyDescent="0.2">
      <c r="A128" s="10">
        <v>20669</v>
      </c>
      <c r="B128" s="11">
        <v>42598</v>
      </c>
      <c r="C128" s="12">
        <v>90.93</v>
      </c>
      <c r="D128" s="12">
        <v>6.93</v>
      </c>
      <c r="E128" s="15" t="s">
        <v>21</v>
      </c>
      <c r="I128" s="10"/>
    </row>
    <row r="129" spans="1:9" x14ac:dyDescent="0.2">
      <c r="A129" s="10">
        <v>20670</v>
      </c>
      <c r="B129" s="11">
        <v>42598</v>
      </c>
      <c r="C129" s="12">
        <v>21.65</v>
      </c>
      <c r="D129" s="12">
        <v>1.65</v>
      </c>
      <c r="E129" s="17"/>
      <c r="F129" s="18"/>
      <c r="G129" s="19"/>
      <c r="H129" s="12"/>
      <c r="I129" s="10"/>
    </row>
    <row r="130" spans="1:9" x14ac:dyDescent="0.2">
      <c r="A130" s="10">
        <v>20671</v>
      </c>
      <c r="B130" s="11">
        <v>42598</v>
      </c>
      <c r="C130" s="12">
        <v>135.31</v>
      </c>
      <c r="D130" s="12">
        <v>10.31</v>
      </c>
      <c r="E130" s="15" t="s">
        <v>746</v>
      </c>
      <c r="F130" s="21"/>
      <c r="G130" s="22"/>
      <c r="H130" s="10"/>
      <c r="I130" s="10"/>
    </row>
    <row r="131" spans="1:9" x14ac:dyDescent="0.2">
      <c r="A131" s="10">
        <v>20672</v>
      </c>
      <c r="B131" s="11">
        <v>42598</v>
      </c>
      <c r="C131" s="12">
        <v>585.99999999999989</v>
      </c>
      <c r="D131" s="12">
        <v>44.66</v>
      </c>
      <c r="E131" s="15" t="s">
        <v>747</v>
      </c>
      <c r="I131" s="10"/>
    </row>
    <row r="132" spans="1:9" x14ac:dyDescent="0.2">
      <c r="A132" s="10">
        <v>20673</v>
      </c>
      <c r="B132" s="11">
        <v>42598</v>
      </c>
      <c r="C132" s="12">
        <v>-821</v>
      </c>
      <c r="D132" s="12"/>
      <c r="E132" s="15" t="s">
        <v>25</v>
      </c>
      <c r="F132" s="20">
        <f>70+182.64</f>
        <v>252.64</v>
      </c>
      <c r="G132" s="20">
        <f>68.74+177.62</f>
        <v>246.36</v>
      </c>
      <c r="H132" s="161"/>
      <c r="I132" s="10"/>
    </row>
    <row r="133" spans="1:9" x14ac:dyDescent="0.2">
      <c r="A133" s="10">
        <v>20674</v>
      </c>
      <c r="B133" s="11">
        <v>42599</v>
      </c>
      <c r="C133" s="12">
        <v>12</v>
      </c>
      <c r="D133" s="12"/>
      <c r="E133" s="15" t="s">
        <v>229</v>
      </c>
      <c r="F133" s="21"/>
      <c r="G133" s="22"/>
      <c r="H133" s="10"/>
      <c r="I133" s="10"/>
    </row>
    <row r="134" spans="1:9" x14ac:dyDescent="0.2">
      <c r="A134" s="10">
        <v>20675</v>
      </c>
      <c r="B134" s="11">
        <v>42599</v>
      </c>
      <c r="C134" s="12">
        <v>37.32</v>
      </c>
      <c r="D134" s="12"/>
      <c r="E134" s="15" t="s">
        <v>10</v>
      </c>
      <c r="F134" s="21"/>
      <c r="G134" s="22"/>
      <c r="H134" s="10"/>
      <c r="I134" s="10"/>
    </row>
    <row r="135" spans="1:9" x14ac:dyDescent="0.2">
      <c r="A135" s="10">
        <v>20676</v>
      </c>
      <c r="B135" s="11">
        <v>42599</v>
      </c>
      <c r="C135" s="12">
        <v>10</v>
      </c>
      <c r="D135" s="12">
        <v>0.76</v>
      </c>
      <c r="E135" s="13"/>
      <c r="F135" s="18"/>
      <c r="G135" s="19"/>
      <c r="H135" s="12"/>
      <c r="I135" s="10"/>
    </row>
    <row r="136" spans="1:9" x14ac:dyDescent="0.2">
      <c r="A136" s="10">
        <v>20677</v>
      </c>
      <c r="B136" s="11">
        <v>42599</v>
      </c>
      <c r="C136" s="12">
        <v>11</v>
      </c>
      <c r="D136" s="12"/>
      <c r="E136" s="15" t="s">
        <v>10</v>
      </c>
      <c r="F136" s="21"/>
      <c r="G136" s="22"/>
      <c r="H136" s="10"/>
      <c r="I136" s="10"/>
    </row>
    <row r="137" spans="1:9" x14ac:dyDescent="0.2">
      <c r="A137" s="10">
        <v>20678</v>
      </c>
      <c r="B137" s="11">
        <v>42599</v>
      </c>
      <c r="C137" s="12">
        <v>12.99</v>
      </c>
      <c r="D137" s="12">
        <v>0.99</v>
      </c>
      <c r="E137" s="17"/>
      <c r="I137" s="10"/>
    </row>
    <row r="138" spans="1:9" x14ac:dyDescent="0.2">
      <c r="A138" s="10">
        <v>20679</v>
      </c>
      <c r="B138" s="11">
        <v>42599</v>
      </c>
      <c r="C138" s="12">
        <v>21.65</v>
      </c>
      <c r="D138" s="12">
        <v>1.65</v>
      </c>
      <c r="E138" s="15" t="s">
        <v>21</v>
      </c>
      <c r="F138" s="21"/>
      <c r="G138" s="22"/>
      <c r="H138" s="10"/>
      <c r="I138" s="10"/>
    </row>
    <row r="139" spans="1:9" x14ac:dyDescent="0.2">
      <c r="A139" s="10">
        <v>20680</v>
      </c>
      <c r="B139" s="11">
        <v>42599</v>
      </c>
      <c r="C139" s="12">
        <v>14</v>
      </c>
      <c r="D139" s="12">
        <v>1.07</v>
      </c>
      <c r="E139" s="17"/>
      <c r="F139" s="18"/>
      <c r="G139" s="19"/>
      <c r="H139" s="12"/>
      <c r="I139" s="10"/>
    </row>
    <row r="140" spans="1:9" x14ac:dyDescent="0.2">
      <c r="A140" s="10">
        <v>20681</v>
      </c>
      <c r="B140" s="11">
        <v>42599</v>
      </c>
      <c r="C140" s="12">
        <v>43.3</v>
      </c>
      <c r="D140" s="12">
        <v>3.3</v>
      </c>
      <c r="E140" s="17"/>
      <c r="F140" s="20">
        <v>0</v>
      </c>
      <c r="G140" s="20">
        <f>+F140*0.97831</f>
        <v>0</v>
      </c>
      <c r="H140" s="161" t="s">
        <v>748</v>
      </c>
      <c r="I140" s="10"/>
    </row>
    <row r="141" spans="1:9" x14ac:dyDescent="0.2">
      <c r="A141" s="10">
        <v>20682</v>
      </c>
      <c r="B141" s="11">
        <v>42600</v>
      </c>
      <c r="C141" s="12">
        <v>7.58</v>
      </c>
      <c r="D141" s="12">
        <v>0.57999999999999996</v>
      </c>
      <c r="E141" s="17"/>
      <c r="F141" s="18"/>
      <c r="G141" s="19"/>
      <c r="H141" s="12"/>
      <c r="I141" s="10"/>
    </row>
    <row r="142" spans="1:9" x14ac:dyDescent="0.2">
      <c r="A142" s="10">
        <v>20683</v>
      </c>
      <c r="B142" s="11">
        <v>42600</v>
      </c>
      <c r="C142" s="12">
        <v>167.73000000000002</v>
      </c>
      <c r="D142" s="12"/>
      <c r="E142" s="15" t="s">
        <v>229</v>
      </c>
      <c r="H142" s="10"/>
      <c r="I142" s="10"/>
    </row>
    <row r="143" spans="1:9" x14ac:dyDescent="0.2">
      <c r="A143" s="10">
        <v>20684</v>
      </c>
      <c r="B143" s="11">
        <v>42600</v>
      </c>
      <c r="C143" s="12">
        <v>166.71</v>
      </c>
      <c r="D143" s="12">
        <v>12.71</v>
      </c>
      <c r="E143" s="15"/>
      <c r="H143" s="10"/>
      <c r="I143" s="10"/>
    </row>
    <row r="144" spans="1:9" x14ac:dyDescent="0.2">
      <c r="A144" s="10">
        <v>20685</v>
      </c>
      <c r="B144" s="11">
        <v>42600</v>
      </c>
      <c r="C144" s="12">
        <v>-64.95</v>
      </c>
      <c r="D144" s="12">
        <v>-4.95</v>
      </c>
      <c r="E144" s="17"/>
      <c r="F144" s="18"/>
      <c r="G144" s="19"/>
      <c r="H144" s="12"/>
      <c r="I144" s="10"/>
    </row>
    <row r="145" spans="1:9" x14ac:dyDescent="0.2">
      <c r="A145" s="10">
        <v>20686</v>
      </c>
      <c r="B145" s="11">
        <v>42600</v>
      </c>
      <c r="C145" s="12">
        <v>360.47</v>
      </c>
      <c r="D145" s="12">
        <v>27.47</v>
      </c>
      <c r="E145" s="15" t="s">
        <v>11</v>
      </c>
      <c r="F145" s="21"/>
      <c r="G145" s="22"/>
      <c r="H145" s="10"/>
      <c r="I145" s="10"/>
    </row>
    <row r="146" spans="1:9" x14ac:dyDescent="0.2">
      <c r="A146" s="10">
        <v>20687</v>
      </c>
      <c r="B146" s="11">
        <v>42600</v>
      </c>
      <c r="C146" s="12">
        <v>7.5</v>
      </c>
      <c r="D146" s="12">
        <v>0.56999999999999995</v>
      </c>
      <c r="E146" s="17"/>
      <c r="H146" s="12"/>
      <c r="I146" s="10"/>
    </row>
    <row r="147" spans="1:9" x14ac:dyDescent="0.2">
      <c r="A147" s="10">
        <v>20688</v>
      </c>
      <c r="B147" s="11">
        <v>42600</v>
      </c>
      <c r="C147" s="12">
        <v>55.21</v>
      </c>
      <c r="D147" s="12">
        <v>4.21</v>
      </c>
      <c r="E147" s="15" t="s">
        <v>533</v>
      </c>
      <c r="I147" s="10"/>
    </row>
    <row r="148" spans="1:9" x14ac:dyDescent="0.2">
      <c r="A148" s="10">
        <v>20689</v>
      </c>
      <c r="B148" s="11">
        <v>42600</v>
      </c>
      <c r="C148" s="12">
        <v>114.75</v>
      </c>
      <c r="D148" s="12">
        <v>8.75</v>
      </c>
      <c r="E148" s="17"/>
      <c r="I148" s="10"/>
    </row>
    <row r="149" spans="1:9" x14ac:dyDescent="0.2">
      <c r="A149" s="10">
        <v>20690</v>
      </c>
      <c r="B149" s="11">
        <v>42600</v>
      </c>
      <c r="C149" s="12">
        <v>18.349999999999998</v>
      </c>
      <c r="D149" s="12">
        <v>1.4</v>
      </c>
      <c r="E149" s="17"/>
      <c r="F149" s="18"/>
      <c r="G149" s="19"/>
      <c r="H149" s="12"/>
      <c r="I149" s="10"/>
    </row>
    <row r="150" spans="1:9" x14ac:dyDescent="0.2">
      <c r="A150" s="10">
        <v>20691</v>
      </c>
      <c r="B150" s="11">
        <v>42600</v>
      </c>
      <c r="C150" s="12">
        <v>5</v>
      </c>
      <c r="D150" s="12">
        <v>0.38</v>
      </c>
      <c r="E150" s="17"/>
      <c r="F150" s="18"/>
      <c r="G150" s="19"/>
      <c r="H150" s="12"/>
      <c r="I150" s="10"/>
    </row>
    <row r="151" spans="1:9" x14ac:dyDescent="0.2">
      <c r="A151" s="10">
        <v>20692</v>
      </c>
      <c r="B151" s="11">
        <v>42600</v>
      </c>
      <c r="C151" s="12">
        <v>38.75</v>
      </c>
      <c r="D151" s="12">
        <v>2.95</v>
      </c>
      <c r="E151" s="17"/>
      <c r="F151" s="18"/>
      <c r="G151" s="19"/>
      <c r="H151" s="12"/>
      <c r="I151" s="10"/>
    </row>
    <row r="152" spans="1:9" x14ac:dyDescent="0.2">
      <c r="A152" s="10">
        <v>20693</v>
      </c>
      <c r="B152" s="11">
        <v>42600</v>
      </c>
      <c r="C152" s="12">
        <v>24.46</v>
      </c>
      <c r="D152" s="12">
        <v>1.86</v>
      </c>
      <c r="E152" s="15" t="s">
        <v>11</v>
      </c>
      <c r="I152" s="10"/>
    </row>
    <row r="153" spans="1:9" x14ac:dyDescent="0.2">
      <c r="A153" s="10">
        <v>20694</v>
      </c>
      <c r="B153" s="11">
        <v>42600</v>
      </c>
      <c r="C153" s="12">
        <v>10</v>
      </c>
      <c r="D153" s="12">
        <v>0.76</v>
      </c>
      <c r="E153" s="17"/>
      <c r="F153" s="20">
        <f>+C145+C152+138.15</f>
        <v>523.08000000000004</v>
      </c>
      <c r="G153" s="20">
        <f>376.42+134.35</f>
        <v>510.77</v>
      </c>
      <c r="H153" s="114"/>
      <c r="I153" s="10"/>
    </row>
    <row r="154" spans="1:9" x14ac:dyDescent="0.2">
      <c r="A154" s="10">
        <v>20695</v>
      </c>
      <c r="B154" s="11">
        <v>42601</v>
      </c>
      <c r="C154" s="12">
        <v>6</v>
      </c>
      <c r="D154" s="12"/>
      <c r="E154" s="13" t="s">
        <v>19</v>
      </c>
      <c r="H154" s="12"/>
      <c r="I154" s="10"/>
    </row>
    <row r="155" spans="1:9" x14ac:dyDescent="0.2">
      <c r="A155" s="10">
        <v>20696</v>
      </c>
      <c r="B155" s="11">
        <v>42601</v>
      </c>
      <c r="C155" s="12">
        <v>21.65</v>
      </c>
      <c r="D155" s="12">
        <v>1.65</v>
      </c>
      <c r="E155" s="15" t="s">
        <v>11</v>
      </c>
      <c r="F155" s="21"/>
      <c r="G155" s="22"/>
      <c r="H155" s="10"/>
      <c r="I155" s="10"/>
    </row>
    <row r="156" spans="1:9" x14ac:dyDescent="0.2">
      <c r="A156" s="10">
        <v>20697</v>
      </c>
      <c r="B156" s="11">
        <v>42601</v>
      </c>
      <c r="C156" s="12">
        <v>152.09</v>
      </c>
      <c r="D156" s="12">
        <v>11.59</v>
      </c>
      <c r="E156" s="17"/>
      <c r="H156" s="12"/>
      <c r="I156" s="10"/>
    </row>
    <row r="157" spans="1:9" x14ac:dyDescent="0.2">
      <c r="A157" s="10">
        <v>20698</v>
      </c>
      <c r="B157" s="11">
        <v>42601</v>
      </c>
      <c r="C157" s="12">
        <v>-13.53</v>
      </c>
      <c r="D157" s="12">
        <v>-1.03</v>
      </c>
      <c r="E157" s="17"/>
      <c r="I157" s="10"/>
    </row>
    <row r="158" spans="1:9" x14ac:dyDescent="0.2">
      <c r="A158" s="10">
        <v>20699</v>
      </c>
      <c r="B158" s="11">
        <v>42601</v>
      </c>
      <c r="C158" s="12">
        <v>165</v>
      </c>
      <c r="D158" s="12"/>
      <c r="E158" s="15" t="s">
        <v>749</v>
      </c>
      <c r="F158" s="21"/>
      <c r="G158" s="22"/>
      <c r="H158" s="10"/>
      <c r="I158" s="10"/>
    </row>
    <row r="159" spans="1:9" x14ac:dyDescent="0.2">
      <c r="A159" s="10">
        <v>20700</v>
      </c>
      <c r="B159" s="11">
        <v>42601</v>
      </c>
      <c r="C159" s="12">
        <v>150.32000000000002</v>
      </c>
      <c r="D159" s="12"/>
      <c r="E159" s="15" t="s">
        <v>229</v>
      </c>
      <c r="F159" s="21"/>
      <c r="G159" s="22"/>
      <c r="H159" s="10"/>
      <c r="I159" s="10"/>
    </row>
    <row r="160" spans="1:9" x14ac:dyDescent="0.2">
      <c r="A160" s="10">
        <v>20701</v>
      </c>
      <c r="B160" s="11">
        <v>42601</v>
      </c>
      <c r="C160" s="12">
        <v>8</v>
      </c>
      <c r="D160" s="12">
        <v>0.61</v>
      </c>
      <c r="E160" s="13"/>
      <c r="F160" s="18"/>
      <c r="G160" s="19"/>
      <c r="H160" s="12"/>
      <c r="I160" s="10"/>
    </row>
    <row r="161" spans="1:9" x14ac:dyDescent="0.2">
      <c r="A161" s="10">
        <v>20702</v>
      </c>
      <c r="B161" s="11">
        <v>42601</v>
      </c>
      <c r="C161" s="12">
        <v>32.479999999999997</v>
      </c>
      <c r="D161" s="12">
        <v>2.48</v>
      </c>
      <c r="E161" s="13"/>
      <c r="F161" s="18"/>
      <c r="G161" s="19"/>
      <c r="H161" s="12"/>
      <c r="I161" s="10"/>
    </row>
    <row r="162" spans="1:9" x14ac:dyDescent="0.2">
      <c r="A162" s="10">
        <v>20703</v>
      </c>
      <c r="B162" s="11">
        <v>42601</v>
      </c>
      <c r="C162" s="12">
        <v>173.2</v>
      </c>
      <c r="D162" s="12">
        <v>13.2</v>
      </c>
      <c r="E162" s="15" t="s">
        <v>11</v>
      </c>
      <c r="F162" s="21"/>
      <c r="G162" s="22"/>
      <c r="H162" s="10"/>
      <c r="I162" s="10"/>
    </row>
    <row r="163" spans="1:9" x14ac:dyDescent="0.2">
      <c r="A163" s="10">
        <v>20704</v>
      </c>
      <c r="B163" s="11">
        <v>42601</v>
      </c>
      <c r="C163" s="12">
        <v>17</v>
      </c>
      <c r="D163" s="12">
        <v>1.3</v>
      </c>
      <c r="E163" s="13"/>
      <c r="F163" s="20">
        <f>+C155+C162+165</f>
        <v>359.85</v>
      </c>
      <c r="G163" s="20">
        <f>193.55+160.46</f>
        <v>354.01</v>
      </c>
      <c r="H163" s="161"/>
      <c r="I163" s="10"/>
    </row>
    <row r="164" spans="1:9" x14ac:dyDescent="0.2">
      <c r="A164" s="10">
        <v>20705</v>
      </c>
      <c r="B164" s="11">
        <v>42602</v>
      </c>
      <c r="C164" s="12">
        <v>43.3</v>
      </c>
      <c r="D164" s="12">
        <v>3.3</v>
      </c>
      <c r="E164" s="17"/>
      <c r="F164" s="18"/>
      <c r="G164" s="19"/>
      <c r="H164" s="12"/>
      <c r="I164" s="10"/>
    </row>
    <row r="165" spans="1:9" x14ac:dyDescent="0.2">
      <c r="A165" s="10">
        <v>20706</v>
      </c>
      <c r="B165" s="11">
        <v>42602</v>
      </c>
      <c r="C165" s="12">
        <v>25</v>
      </c>
      <c r="D165" s="12">
        <v>1.91</v>
      </c>
      <c r="E165" s="17"/>
      <c r="F165" s="18"/>
      <c r="G165" s="19"/>
      <c r="H165" s="12"/>
      <c r="I165" s="10"/>
    </row>
    <row r="166" spans="1:9" x14ac:dyDescent="0.2">
      <c r="A166" s="10">
        <v>20707</v>
      </c>
      <c r="B166" s="11">
        <v>42602</v>
      </c>
      <c r="C166" s="12">
        <v>6.69</v>
      </c>
      <c r="D166" s="12"/>
      <c r="E166" s="15" t="s">
        <v>368</v>
      </c>
      <c r="F166" s="21"/>
      <c r="G166" s="22"/>
      <c r="H166" s="10"/>
      <c r="I166" s="10"/>
    </row>
    <row r="167" spans="1:9" x14ac:dyDescent="0.2">
      <c r="A167" s="10">
        <v>20708</v>
      </c>
      <c r="B167" s="11">
        <v>42602</v>
      </c>
      <c r="C167" s="12">
        <v>179.6</v>
      </c>
      <c r="D167" s="12"/>
      <c r="E167" s="15" t="s">
        <v>229</v>
      </c>
      <c r="F167" s="21"/>
      <c r="G167" s="22"/>
      <c r="H167" s="10"/>
      <c r="I167" s="10"/>
    </row>
    <row r="168" spans="1:9" x14ac:dyDescent="0.2">
      <c r="A168" s="10">
        <v>20709</v>
      </c>
      <c r="B168" s="11">
        <v>42602</v>
      </c>
      <c r="C168" s="12">
        <v>20</v>
      </c>
      <c r="D168" s="12"/>
      <c r="E168" s="13" t="s">
        <v>521</v>
      </c>
      <c r="H168" s="12"/>
      <c r="I168" s="10"/>
    </row>
    <row r="169" spans="1:9" x14ac:dyDescent="0.2">
      <c r="A169" s="10">
        <v>20710</v>
      </c>
      <c r="B169" s="11">
        <v>42602</v>
      </c>
      <c r="C169" s="12">
        <v>26.18</v>
      </c>
      <c r="D169" s="12"/>
      <c r="E169" s="15" t="s">
        <v>750</v>
      </c>
      <c r="F169" s="21"/>
      <c r="G169" s="22"/>
      <c r="H169" s="10"/>
      <c r="I169" s="10"/>
    </row>
    <row r="170" spans="1:9" x14ac:dyDescent="0.2">
      <c r="A170" s="10">
        <v>20711</v>
      </c>
      <c r="B170" s="11">
        <v>42602</v>
      </c>
      <c r="C170" s="12">
        <v>38.97</v>
      </c>
      <c r="D170" s="12">
        <v>2.97</v>
      </c>
      <c r="E170" s="15"/>
      <c r="I170" s="10"/>
    </row>
    <row r="171" spans="1:9" x14ac:dyDescent="0.2">
      <c r="A171" s="10">
        <v>20712</v>
      </c>
      <c r="B171" s="11">
        <v>42602</v>
      </c>
      <c r="C171" s="12">
        <v>348.57</v>
      </c>
      <c r="D171" s="12">
        <v>26.57</v>
      </c>
      <c r="E171" s="15" t="s">
        <v>11</v>
      </c>
      <c r="I171" s="10"/>
    </row>
    <row r="172" spans="1:9" x14ac:dyDescent="0.2">
      <c r="A172" s="10">
        <v>20713</v>
      </c>
      <c r="B172" s="11">
        <v>42602</v>
      </c>
      <c r="C172" s="12">
        <v>168.29</v>
      </c>
      <c r="D172" s="12">
        <v>12.83</v>
      </c>
      <c r="E172" s="15" t="s">
        <v>11</v>
      </c>
      <c r="I172" s="10"/>
    </row>
    <row r="173" spans="1:9" x14ac:dyDescent="0.2">
      <c r="A173" s="10">
        <v>20714</v>
      </c>
      <c r="B173" s="11">
        <v>42602</v>
      </c>
      <c r="C173" s="12">
        <v>23.82</v>
      </c>
      <c r="D173" s="12">
        <v>1.82</v>
      </c>
      <c r="E173" s="15" t="s">
        <v>21</v>
      </c>
      <c r="I173" s="10"/>
    </row>
    <row r="174" spans="1:9" x14ac:dyDescent="0.2">
      <c r="A174" s="10">
        <v>20715</v>
      </c>
      <c r="B174" s="11">
        <v>42602</v>
      </c>
      <c r="C174" s="12">
        <v>110</v>
      </c>
      <c r="D174" s="12">
        <v>8.3800000000000008</v>
      </c>
      <c r="E174" s="15" t="s">
        <v>742</v>
      </c>
      <c r="H174" s="4"/>
      <c r="I174" s="10"/>
    </row>
    <row r="175" spans="1:9" x14ac:dyDescent="0.2">
      <c r="A175" s="10">
        <v>20716</v>
      </c>
      <c r="B175" s="11">
        <v>42602</v>
      </c>
      <c r="C175" s="12">
        <v>1</v>
      </c>
      <c r="D175" s="12">
        <v>0.08</v>
      </c>
      <c r="E175" s="15"/>
      <c r="F175" s="20">
        <f>+C166+C172+C171+28.34</f>
        <v>551.89</v>
      </c>
      <c r="G175" s="20">
        <f>520.81+24.58</f>
        <v>545.39</v>
      </c>
      <c r="H175" s="161"/>
      <c r="I175" s="10"/>
    </row>
    <row r="176" spans="1:9" x14ac:dyDescent="0.2">
      <c r="A176" s="10">
        <v>20717</v>
      </c>
      <c r="B176" s="11">
        <v>42604</v>
      </c>
      <c r="C176" s="12">
        <v>110</v>
      </c>
      <c r="D176" s="12"/>
      <c r="E176" s="15" t="s">
        <v>25</v>
      </c>
      <c r="F176" s="21"/>
      <c r="G176" s="22"/>
      <c r="H176" s="10"/>
      <c r="I176" s="10"/>
    </row>
    <row r="177" spans="1:9" x14ac:dyDescent="0.2">
      <c r="A177" s="10">
        <v>20718</v>
      </c>
      <c r="B177" s="11">
        <v>42604</v>
      </c>
      <c r="C177" s="12">
        <v>168.33</v>
      </c>
      <c r="D177" s="12">
        <v>12.83</v>
      </c>
      <c r="E177" s="15" t="s">
        <v>11</v>
      </c>
      <c r="H177" s="10"/>
      <c r="I177" s="10"/>
    </row>
    <row r="178" spans="1:9" x14ac:dyDescent="0.2">
      <c r="A178" s="10">
        <v>20719</v>
      </c>
      <c r="B178" s="11">
        <v>42604</v>
      </c>
      <c r="C178" s="12">
        <v>227.32999999999998</v>
      </c>
      <c r="D178" s="12">
        <v>17.329999999999998</v>
      </c>
      <c r="E178" s="15" t="s">
        <v>751</v>
      </c>
      <c r="F178" s="21"/>
      <c r="G178" s="22"/>
      <c r="H178" s="10"/>
      <c r="I178" s="10"/>
    </row>
    <row r="179" spans="1:9" x14ac:dyDescent="0.2">
      <c r="A179" s="10">
        <v>20720</v>
      </c>
      <c r="B179" s="11">
        <v>42604</v>
      </c>
      <c r="C179" s="12">
        <v>41.35</v>
      </c>
      <c r="D179" s="12">
        <v>3.15</v>
      </c>
      <c r="E179" s="15" t="s">
        <v>11</v>
      </c>
      <c r="H179" s="10"/>
      <c r="I179" s="10"/>
    </row>
    <row r="180" spans="1:9" x14ac:dyDescent="0.2">
      <c r="A180" s="10">
        <v>20721</v>
      </c>
      <c r="B180" s="11">
        <v>42604</v>
      </c>
      <c r="C180" s="12">
        <v>25.2</v>
      </c>
      <c r="D180" s="12"/>
      <c r="E180" s="15" t="s">
        <v>25</v>
      </c>
      <c r="H180" s="10"/>
      <c r="I180" s="10"/>
    </row>
    <row r="181" spans="1:9" x14ac:dyDescent="0.2">
      <c r="A181" s="10">
        <v>20722</v>
      </c>
      <c r="B181" s="11">
        <v>42604</v>
      </c>
      <c r="C181" s="12">
        <v>8.66</v>
      </c>
      <c r="D181" s="12">
        <v>0.66</v>
      </c>
      <c r="E181" s="17"/>
      <c r="H181" s="12"/>
      <c r="I181" s="10"/>
    </row>
    <row r="182" spans="1:9" x14ac:dyDescent="0.2">
      <c r="A182" s="10">
        <v>20723</v>
      </c>
      <c r="B182" s="11">
        <v>42604</v>
      </c>
      <c r="C182" s="12">
        <v>16.18</v>
      </c>
      <c r="D182" s="12">
        <v>1.23</v>
      </c>
      <c r="E182" s="15" t="s">
        <v>523</v>
      </c>
      <c r="I182" s="10"/>
    </row>
    <row r="183" spans="1:9" x14ac:dyDescent="0.2">
      <c r="A183" s="10">
        <v>20724</v>
      </c>
      <c r="B183" s="11">
        <v>42604</v>
      </c>
      <c r="C183" s="12">
        <v>1.3</v>
      </c>
      <c r="D183" s="12">
        <v>0.1</v>
      </c>
      <c r="E183" s="17"/>
      <c r="F183" s="20">
        <f>+C177+C179+C182</f>
        <v>225.86</v>
      </c>
      <c r="G183" s="20">
        <v>223.76</v>
      </c>
      <c r="H183" s="10"/>
      <c r="I183" s="10"/>
    </row>
    <row r="184" spans="1:9" x14ac:dyDescent="0.2">
      <c r="A184" s="10">
        <v>20725</v>
      </c>
      <c r="B184" s="11">
        <v>42605</v>
      </c>
      <c r="C184" s="12">
        <v>41.14</v>
      </c>
      <c r="D184" s="12">
        <v>3.14</v>
      </c>
      <c r="E184" s="15" t="s">
        <v>533</v>
      </c>
      <c r="F184" s="21"/>
      <c r="G184" s="22"/>
      <c r="H184" s="10"/>
      <c r="I184" s="10"/>
    </row>
    <row r="185" spans="1:9" x14ac:dyDescent="0.2">
      <c r="A185" s="10">
        <v>20726</v>
      </c>
      <c r="B185" s="11">
        <v>42605</v>
      </c>
      <c r="C185" s="12">
        <v>5</v>
      </c>
      <c r="D185" s="12">
        <v>0.38</v>
      </c>
      <c r="E185" s="17"/>
      <c r="I185" s="10"/>
    </row>
    <row r="186" spans="1:9" x14ac:dyDescent="0.2">
      <c r="A186" s="10">
        <v>20727</v>
      </c>
      <c r="B186" s="11">
        <v>42605</v>
      </c>
      <c r="C186" s="12">
        <v>0</v>
      </c>
      <c r="D186" s="12">
        <v>0</v>
      </c>
      <c r="E186" s="17"/>
      <c r="I186" s="10"/>
    </row>
    <row r="187" spans="1:9" x14ac:dyDescent="0.2">
      <c r="A187" s="10">
        <v>20728</v>
      </c>
      <c r="B187" s="11">
        <v>42605</v>
      </c>
      <c r="C187" s="12">
        <v>36</v>
      </c>
      <c r="D187" s="12"/>
      <c r="E187" s="15" t="s">
        <v>25</v>
      </c>
      <c r="I187" s="10"/>
    </row>
    <row r="188" spans="1:9" x14ac:dyDescent="0.2">
      <c r="A188" s="10">
        <v>20729</v>
      </c>
      <c r="B188" s="11">
        <v>42605</v>
      </c>
      <c r="C188" s="12">
        <v>362</v>
      </c>
      <c r="D188" s="12"/>
      <c r="E188" s="15" t="s">
        <v>229</v>
      </c>
      <c r="F188" s="21"/>
      <c r="G188" s="22"/>
      <c r="H188" s="10"/>
      <c r="I188" s="10"/>
    </row>
    <row r="189" spans="1:9" x14ac:dyDescent="0.2">
      <c r="A189" s="10">
        <v>20730</v>
      </c>
      <c r="B189" s="11">
        <v>42605</v>
      </c>
      <c r="C189" s="12">
        <v>64.95</v>
      </c>
      <c r="D189" s="12">
        <v>4.95</v>
      </c>
      <c r="E189" s="15" t="s">
        <v>11</v>
      </c>
      <c r="I189" s="10"/>
    </row>
    <row r="190" spans="1:9" x14ac:dyDescent="0.2">
      <c r="A190" s="10">
        <v>20731</v>
      </c>
      <c r="B190" s="11">
        <v>42605</v>
      </c>
      <c r="C190" s="12">
        <v>31.5</v>
      </c>
      <c r="D190" s="12">
        <v>2.4</v>
      </c>
      <c r="E190" s="23"/>
      <c r="F190" s="21"/>
      <c r="G190" s="22"/>
      <c r="H190" s="10"/>
      <c r="I190" s="10"/>
    </row>
    <row r="191" spans="1:9" x14ac:dyDescent="0.2">
      <c r="A191" s="10">
        <v>20732</v>
      </c>
      <c r="B191" s="11">
        <v>42605</v>
      </c>
      <c r="C191" s="12">
        <v>10.83</v>
      </c>
      <c r="D191" s="12">
        <v>0.83</v>
      </c>
      <c r="E191" s="17"/>
      <c r="F191" s="20">
        <f>+C189+169.96</f>
        <v>234.91000000000003</v>
      </c>
      <c r="G191" s="20">
        <f>64.41+147.44</f>
        <v>211.85</v>
      </c>
      <c r="H191" s="161"/>
      <c r="I191" s="10"/>
    </row>
    <row r="192" spans="1:9" x14ac:dyDescent="0.2">
      <c r="A192" s="10">
        <v>20733</v>
      </c>
      <c r="B192" s="11">
        <v>42606</v>
      </c>
      <c r="C192" s="12">
        <v>17.32</v>
      </c>
      <c r="D192" s="12">
        <v>1.32</v>
      </c>
      <c r="E192" s="15" t="s">
        <v>21</v>
      </c>
      <c r="F192" s="21"/>
      <c r="G192" s="22"/>
      <c r="H192" s="10"/>
      <c r="I192" s="10"/>
    </row>
    <row r="193" spans="1:9" x14ac:dyDescent="0.2">
      <c r="A193" s="10">
        <v>20734</v>
      </c>
      <c r="B193" s="11">
        <v>42606</v>
      </c>
      <c r="C193" s="12">
        <v>89.2</v>
      </c>
      <c r="D193" s="12"/>
      <c r="E193" s="15" t="s">
        <v>25</v>
      </c>
      <c r="F193" s="21"/>
      <c r="G193" s="22"/>
      <c r="H193" s="10"/>
      <c r="I193" s="10"/>
    </row>
    <row r="194" spans="1:9" x14ac:dyDescent="0.2">
      <c r="A194" s="10">
        <v>20735</v>
      </c>
      <c r="B194" s="11">
        <v>42606</v>
      </c>
      <c r="C194" s="12">
        <v>12.94</v>
      </c>
      <c r="D194" s="12">
        <v>0.99</v>
      </c>
      <c r="E194" s="13"/>
      <c r="F194" s="18"/>
      <c r="G194" s="19"/>
      <c r="H194" s="12"/>
      <c r="I194" s="10"/>
    </row>
    <row r="195" spans="1:9" x14ac:dyDescent="0.2">
      <c r="A195" s="10">
        <v>20736</v>
      </c>
      <c r="B195" s="11">
        <v>42606</v>
      </c>
      <c r="C195" s="12">
        <v>16.18</v>
      </c>
      <c r="D195" s="12">
        <v>1.23</v>
      </c>
      <c r="E195" s="13"/>
      <c r="F195" s="18"/>
      <c r="G195" s="19"/>
      <c r="H195" s="12"/>
      <c r="I195" s="10"/>
    </row>
    <row r="196" spans="1:9" x14ac:dyDescent="0.2">
      <c r="A196" s="10">
        <v>20737</v>
      </c>
      <c r="B196" s="11">
        <v>42606</v>
      </c>
      <c r="C196" s="12">
        <v>75.72</v>
      </c>
      <c r="D196" s="12">
        <v>5.77</v>
      </c>
      <c r="E196" s="13"/>
      <c r="F196" s="18"/>
      <c r="G196" s="19"/>
      <c r="H196" s="12"/>
      <c r="I196" s="10"/>
    </row>
    <row r="197" spans="1:9" x14ac:dyDescent="0.2">
      <c r="A197" s="10">
        <v>20738</v>
      </c>
      <c r="B197" s="11">
        <v>42606</v>
      </c>
      <c r="C197" s="12">
        <v>153.72</v>
      </c>
      <c r="D197" s="12">
        <v>11.72</v>
      </c>
      <c r="E197" s="15" t="s">
        <v>533</v>
      </c>
      <c r="F197" s="21"/>
      <c r="G197" s="22"/>
      <c r="H197" s="10"/>
      <c r="I197" s="10"/>
    </row>
    <row r="198" spans="1:9" x14ac:dyDescent="0.2">
      <c r="A198" s="10">
        <v>20739</v>
      </c>
      <c r="B198" s="11">
        <v>42606</v>
      </c>
      <c r="C198" s="12">
        <v>14</v>
      </c>
      <c r="D198" s="12">
        <v>1.07</v>
      </c>
      <c r="E198" s="13"/>
      <c r="F198" s="18"/>
      <c r="G198" s="19"/>
      <c r="H198" s="12"/>
      <c r="I198" s="10"/>
    </row>
    <row r="199" spans="1:9" x14ac:dyDescent="0.2">
      <c r="A199" s="10">
        <v>20740</v>
      </c>
      <c r="B199" s="11">
        <v>42606</v>
      </c>
      <c r="C199" s="12">
        <v>12.09</v>
      </c>
      <c r="D199" s="12"/>
      <c r="E199" s="15" t="s">
        <v>752</v>
      </c>
      <c r="I199" s="10"/>
    </row>
    <row r="200" spans="1:9" x14ac:dyDescent="0.2">
      <c r="A200" s="10">
        <v>20741</v>
      </c>
      <c r="B200" s="11">
        <v>42606</v>
      </c>
      <c r="C200" s="12">
        <v>-1.08</v>
      </c>
      <c r="D200" s="12">
        <v>-0.08</v>
      </c>
      <c r="E200" s="13" t="s">
        <v>86</v>
      </c>
      <c r="I200" s="10"/>
    </row>
    <row r="201" spans="1:9" x14ac:dyDescent="0.2">
      <c r="A201" s="10">
        <v>20742</v>
      </c>
      <c r="B201" s="11">
        <v>42606</v>
      </c>
      <c r="C201" s="12">
        <v>644</v>
      </c>
      <c r="D201" s="12">
        <v>49.08</v>
      </c>
      <c r="E201" s="15" t="s">
        <v>21</v>
      </c>
      <c r="F201" s="115"/>
      <c r="G201" s="115"/>
      <c r="I201" s="10"/>
    </row>
    <row r="202" spans="1:9" x14ac:dyDescent="0.2">
      <c r="A202" s="10">
        <v>20743</v>
      </c>
      <c r="B202" s="11">
        <v>42606</v>
      </c>
      <c r="C202" s="12">
        <v>53.900000000000006</v>
      </c>
      <c r="D202" s="12"/>
      <c r="E202" s="15" t="s">
        <v>229</v>
      </c>
      <c r="F202" s="21"/>
      <c r="G202" s="22"/>
      <c r="H202" s="10"/>
      <c r="I202" s="10"/>
    </row>
    <row r="203" spans="1:9" x14ac:dyDescent="0.2">
      <c r="A203" s="10">
        <v>20744</v>
      </c>
      <c r="B203" s="11">
        <v>42606</v>
      </c>
      <c r="C203" s="12">
        <v>10.83</v>
      </c>
      <c r="D203" s="12">
        <v>0.83</v>
      </c>
      <c r="E203" s="17"/>
      <c r="I203" s="10"/>
    </row>
    <row r="204" spans="1:9" x14ac:dyDescent="0.2">
      <c r="A204" s="10">
        <v>20745</v>
      </c>
      <c r="B204" s="11">
        <v>42606</v>
      </c>
      <c r="C204" s="12">
        <v>80.540000000000006</v>
      </c>
      <c r="D204" s="12">
        <v>6.14</v>
      </c>
      <c r="E204" s="15" t="s">
        <v>11</v>
      </c>
      <c r="F204" s="20">
        <f>+C199+C204+153.72</f>
        <v>246.35000000000002</v>
      </c>
      <c r="G204" s="20">
        <f>91.68+133.35</f>
        <v>225.03</v>
      </c>
      <c r="H204" s="161"/>
      <c r="I204" s="10"/>
    </row>
    <row r="205" spans="1:9" x14ac:dyDescent="0.2">
      <c r="A205" s="10">
        <v>20746</v>
      </c>
      <c r="B205" s="11">
        <v>42607</v>
      </c>
      <c r="C205" s="12">
        <v>156.96</v>
      </c>
      <c r="D205" s="12">
        <v>11.96</v>
      </c>
      <c r="E205" s="15" t="s">
        <v>11</v>
      </c>
      <c r="F205" s="21"/>
      <c r="G205" s="22"/>
      <c r="H205" s="10"/>
      <c r="I205" s="10"/>
    </row>
    <row r="206" spans="1:9" x14ac:dyDescent="0.2">
      <c r="A206" s="10">
        <v>20747</v>
      </c>
      <c r="B206" s="11">
        <v>42607</v>
      </c>
      <c r="C206" s="12">
        <v>15.16</v>
      </c>
      <c r="D206" s="12">
        <v>1.1599999999999999</v>
      </c>
      <c r="E206" s="15" t="s">
        <v>11</v>
      </c>
      <c r="H206" s="10"/>
      <c r="I206" s="10"/>
    </row>
    <row r="207" spans="1:9" x14ac:dyDescent="0.2">
      <c r="A207" s="10">
        <v>20748</v>
      </c>
      <c r="B207" s="11">
        <v>42607</v>
      </c>
      <c r="C207" s="12">
        <v>6.44</v>
      </c>
      <c r="D207" s="12">
        <v>0.49</v>
      </c>
      <c r="E207" s="17"/>
      <c r="F207" s="18"/>
      <c r="G207" s="19"/>
      <c r="H207" s="12"/>
      <c r="I207" s="10"/>
    </row>
    <row r="208" spans="1:9" x14ac:dyDescent="0.2">
      <c r="A208" s="10">
        <v>20749</v>
      </c>
      <c r="B208" s="11">
        <v>42607</v>
      </c>
      <c r="C208" s="12">
        <v>127.74</v>
      </c>
      <c r="D208" s="12">
        <v>9.74</v>
      </c>
      <c r="E208" s="17"/>
      <c r="F208" s="18"/>
      <c r="G208" s="19"/>
      <c r="H208" s="12"/>
      <c r="I208" s="10"/>
    </row>
    <row r="209" spans="1:9" x14ac:dyDescent="0.2">
      <c r="A209" s="10">
        <v>20750</v>
      </c>
      <c r="B209" s="11">
        <v>42607</v>
      </c>
      <c r="C209" s="12">
        <v>90</v>
      </c>
      <c r="D209" s="12"/>
      <c r="E209" s="13" t="s">
        <v>753</v>
      </c>
      <c r="F209" s="18"/>
      <c r="G209" s="19"/>
      <c r="H209" s="12"/>
      <c r="I209" s="10"/>
    </row>
    <row r="210" spans="1:9" x14ac:dyDescent="0.2">
      <c r="A210" s="10">
        <v>20751</v>
      </c>
      <c r="B210" s="11">
        <v>42607</v>
      </c>
      <c r="C210" s="12">
        <v>5</v>
      </c>
      <c r="D210" s="12">
        <v>0.38</v>
      </c>
      <c r="E210" s="17"/>
      <c r="H210" s="12"/>
      <c r="I210" s="10"/>
    </row>
    <row r="211" spans="1:9" x14ac:dyDescent="0.2">
      <c r="A211" s="10">
        <v>20752</v>
      </c>
      <c r="B211" s="11">
        <v>42607</v>
      </c>
      <c r="C211" s="12">
        <v>15</v>
      </c>
      <c r="D211" s="12"/>
      <c r="E211" s="13" t="s">
        <v>754</v>
      </c>
      <c r="F211" s="18"/>
      <c r="G211" s="19"/>
      <c r="H211" s="12"/>
      <c r="I211" s="10"/>
    </row>
    <row r="212" spans="1:9" x14ac:dyDescent="0.2">
      <c r="A212" s="10">
        <v>20753</v>
      </c>
      <c r="B212" s="11">
        <v>42607</v>
      </c>
      <c r="C212" s="12">
        <v>135</v>
      </c>
      <c r="D212" s="12">
        <v>10.29</v>
      </c>
      <c r="E212" s="17"/>
      <c r="H212" s="12"/>
      <c r="I212" s="10"/>
    </row>
    <row r="213" spans="1:9" x14ac:dyDescent="0.2">
      <c r="A213" s="10">
        <v>20754</v>
      </c>
      <c r="B213" s="11">
        <v>42607</v>
      </c>
      <c r="C213" s="12">
        <v>74.37</v>
      </c>
      <c r="D213" s="12"/>
      <c r="E213" s="15" t="s">
        <v>755</v>
      </c>
      <c r="F213" s="21"/>
      <c r="G213" s="22"/>
      <c r="H213" s="10"/>
      <c r="I213" s="10"/>
    </row>
    <row r="214" spans="1:9" x14ac:dyDescent="0.2">
      <c r="A214" s="10">
        <v>20755</v>
      </c>
      <c r="B214" s="11">
        <v>42607</v>
      </c>
      <c r="C214" s="12">
        <v>11</v>
      </c>
      <c r="D214" s="12"/>
      <c r="E214" s="13" t="s">
        <v>19</v>
      </c>
      <c r="H214" s="12"/>
      <c r="I214" s="10"/>
    </row>
    <row r="215" spans="1:9" x14ac:dyDescent="0.2">
      <c r="A215" s="10">
        <v>20756</v>
      </c>
      <c r="B215" s="11">
        <v>42607</v>
      </c>
      <c r="C215" s="12">
        <v>42.22</v>
      </c>
      <c r="D215" s="12">
        <v>3.22</v>
      </c>
      <c r="E215" s="15" t="s">
        <v>11</v>
      </c>
      <c r="F215" s="21"/>
      <c r="G215" s="22"/>
      <c r="H215" s="10"/>
      <c r="I215" s="10"/>
    </row>
    <row r="216" spans="1:9" x14ac:dyDescent="0.2">
      <c r="A216" s="10">
        <v>20757</v>
      </c>
      <c r="B216" s="11">
        <v>42607</v>
      </c>
      <c r="C216" s="12">
        <v>28.6</v>
      </c>
      <c r="D216" s="12"/>
      <c r="E216" s="15" t="s">
        <v>756</v>
      </c>
      <c r="H216" s="10"/>
      <c r="I216" s="10"/>
    </row>
    <row r="217" spans="1:9" x14ac:dyDescent="0.2">
      <c r="A217" s="10">
        <v>20758</v>
      </c>
      <c r="B217" s="11">
        <v>42607</v>
      </c>
      <c r="C217" s="12">
        <v>90.25</v>
      </c>
      <c r="D217" s="12"/>
      <c r="E217" s="15" t="s">
        <v>229</v>
      </c>
      <c r="F217" s="20">
        <f>+C205+C206+C213+C215</f>
        <v>288.71000000000004</v>
      </c>
      <c r="G217" s="20">
        <v>285.89</v>
      </c>
      <c r="H217" s="10"/>
      <c r="I217" s="10"/>
    </row>
    <row r="218" spans="1:9" x14ac:dyDescent="0.2">
      <c r="A218" s="10">
        <v>20759</v>
      </c>
      <c r="B218" s="11">
        <v>42608</v>
      </c>
      <c r="C218" s="12">
        <v>1.5</v>
      </c>
      <c r="D218" s="12">
        <v>0.11</v>
      </c>
      <c r="E218" s="17"/>
      <c r="H218" s="12"/>
      <c r="I218" s="10"/>
    </row>
    <row r="219" spans="1:9" x14ac:dyDescent="0.2">
      <c r="A219" s="10">
        <v>20760</v>
      </c>
      <c r="B219" s="11">
        <v>42608</v>
      </c>
      <c r="C219" s="12">
        <v>380</v>
      </c>
      <c r="D219" s="12">
        <v>28.96</v>
      </c>
      <c r="E219" s="15"/>
      <c r="H219" s="10"/>
      <c r="I219" s="10"/>
    </row>
    <row r="220" spans="1:9" x14ac:dyDescent="0.2">
      <c r="A220" s="10">
        <v>20761</v>
      </c>
      <c r="B220" s="11">
        <v>42608</v>
      </c>
      <c r="C220" s="12">
        <v>10</v>
      </c>
      <c r="D220" s="12">
        <v>0.76</v>
      </c>
      <c r="E220" s="17"/>
      <c r="F220" s="18"/>
      <c r="G220" s="19"/>
      <c r="H220" s="12"/>
      <c r="I220" s="10"/>
    </row>
    <row r="221" spans="1:9" x14ac:dyDescent="0.2">
      <c r="A221" s="10">
        <v>20762</v>
      </c>
      <c r="B221" s="11">
        <v>42608</v>
      </c>
      <c r="C221" s="12">
        <v>303.10000000000002</v>
      </c>
      <c r="D221" s="12">
        <v>23.1</v>
      </c>
      <c r="E221" s="15" t="s">
        <v>11</v>
      </c>
      <c r="H221" s="10"/>
      <c r="I221" s="10"/>
    </row>
    <row r="222" spans="1:9" x14ac:dyDescent="0.2">
      <c r="A222" s="10">
        <v>20763</v>
      </c>
      <c r="B222" s="11">
        <v>42608</v>
      </c>
      <c r="C222" s="12">
        <v>91.960000000000008</v>
      </c>
      <c r="D222" s="12">
        <v>7.01</v>
      </c>
      <c r="E222" s="15" t="s">
        <v>7</v>
      </c>
      <c r="H222" s="10"/>
      <c r="I222" s="10"/>
    </row>
    <row r="223" spans="1:9" x14ac:dyDescent="0.2">
      <c r="A223" s="10">
        <v>20764</v>
      </c>
      <c r="B223" s="11">
        <v>42608</v>
      </c>
      <c r="C223" s="12">
        <v>43.19</v>
      </c>
      <c r="D223" s="12">
        <v>3.29</v>
      </c>
      <c r="E223" s="15" t="s">
        <v>11</v>
      </c>
      <c r="F223" s="21"/>
      <c r="G223" s="22"/>
      <c r="H223" s="10"/>
      <c r="I223" s="10"/>
    </row>
    <row r="224" spans="1:9" x14ac:dyDescent="0.2">
      <c r="A224" s="10">
        <v>20765</v>
      </c>
      <c r="B224" s="11">
        <v>42608</v>
      </c>
      <c r="C224" s="12">
        <v>25.98</v>
      </c>
      <c r="D224" s="12">
        <v>1.98</v>
      </c>
      <c r="E224" s="17"/>
      <c r="F224" s="18"/>
      <c r="G224" s="19"/>
      <c r="H224" s="12"/>
      <c r="I224" s="10"/>
    </row>
    <row r="225" spans="1:9" x14ac:dyDescent="0.2">
      <c r="A225" s="10">
        <v>20766</v>
      </c>
      <c r="B225" s="11">
        <v>42608</v>
      </c>
      <c r="C225" s="12">
        <v>36.5</v>
      </c>
      <c r="D225" s="12"/>
      <c r="E225" s="13" t="s">
        <v>19</v>
      </c>
      <c r="H225" s="12"/>
      <c r="I225" s="10"/>
    </row>
    <row r="226" spans="1:9" x14ac:dyDescent="0.2">
      <c r="A226" s="10">
        <v>20767</v>
      </c>
      <c r="B226" s="11">
        <v>42608</v>
      </c>
      <c r="C226" s="12">
        <v>21.5</v>
      </c>
      <c r="D226" s="12"/>
      <c r="E226" s="17"/>
      <c r="F226" s="18"/>
      <c r="G226" s="19"/>
      <c r="H226" s="12"/>
      <c r="I226" s="10"/>
    </row>
    <row r="227" spans="1:9" x14ac:dyDescent="0.2">
      <c r="A227" s="10">
        <v>20768</v>
      </c>
      <c r="B227" s="11">
        <v>42608</v>
      </c>
      <c r="C227" s="12">
        <v>160</v>
      </c>
      <c r="D227" s="12">
        <v>9.9</v>
      </c>
      <c r="E227" s="17"/>
      <c r="F227" s="18"/>
      <c r="G227" s="19"/>
      <c r="H227" s="12"/>
      <c r="I227" s="10"/>
    </row>
    <row r="228" spans="1:9" x14ac:dyDescent="0.2">
      <c r="A228" s="10">
        <v>20769</v>
      </c>
      <c r="B228" s="11">
        <v>42608</v>
      </c>
      <c r="C228" s="12">
        <v>72</v>
      </c>
      <c r="D228" s="12"/>
      <c r="E228" s="15" t="s">
        <v>25</v>
      </c>
      <c r="H228" s="10"/>
      <c r="I228" s="10"/>
    </row>
    <row r="229" spans="1:9" x14ac:dyDescent="0.2">
      <c r="A229" s="10">
        <v>20770</v>
      </c>
      <c r="B229" s="11">
        <v>42608</v>
      </c>
      <c r="C229" s="12">
        <v>180.24</v>
      </c>
      <c r="D229" s="12">
        <v>13.74</v>
      </c>
      <c r="E229" s="17"/>
      <c r="H229" s="12"/>
      <c r="I229" s="10"/>
    </row>
    <row r="230" spans="1:9" x14ac:dyDescent="0.2">
      <c r="A230" s="10">
        <v>20771</v>
      </c>
      <c r="B230" s="11">
        <v>42608</v>
      </c>
      <c r="C230" s="12"/>
      <c r="D230" s="12"/>
      <c r="E230" s="15" t="s">
        <v>757</v>
      </c>
      <c r="F230" s="20">
        <f>+C216+C221+C222+C223</f>
        <v>466.85000000000008</v>
      </c>
      <c r="G230" s="20">
        <v>460.35</v>
      </c>
      <c r="H230" s="10"/>
      <c r="I230" s="10"/>
    </row>
    <row r="231" spans="1:9" x14ac:dyDescent="0.2">
      <c r="A231" s="10">
        <v>20772</v>
      </c>
      <c r="B231" s="11">
        <v>42609</v>
      </c>
      <c r="C231" s="12">
        <v>305</v>
      </c>
      <c r="D231" s="12">
        <v>24.75</v>
      </c>
      <c r="E231" s="15" t="s">
        <v>758</v>
      </c>
      <c r="H231" s="10"/>
      <c r="I231" s="10"/>
    </row>
    <row r="232" spans="1:9" x14ac:dyDescent="0.2">
      <c r="A232" s="10">
        <v>20773</v>
      </c>
      <c r="B232" s="11">
        <v>42609</v>
      </c>
      <c r="C232" s="12">
        <v>4.5</v>
      </c>
      <c r="D232" s="12">
        <v>0.34</v>
      </c>
      <c r="E232" s="17"/>
      <c r="F232" s="18"/>
      <c r="G232" s="19"/>
      <c r="H232" s="12"/>
      <c r="I232" s="10"/>
    </row>
    <row r="233" spans="1:9" x14ac:dyDescent="0.2">
      <c r="A233" s="10">
        <v>20774</v>
      </c>
      <c r="B233" s="11">
        <v>42609</v>
      </c>
      <c r="C233" s="12">
        <v>34.64</v>
      </c>
      <c r="D233" s="12">
        <v>2.64</v>
      </c>
      <c r="E233" s="15" t="s">
        <v>7</v>
      </c>
      <c r="F233" s="21"/>
      <c r="G233" s="22"/>
      <c r="H233" s="10"/>
      <c r="I233" s="10"/>
    </row>
    <row r="234" spans="1:9" x14ac:dyDescent="0.2">
      <c r="A234" s="10">
        <v>20775</v>
      </c>
      <c r="B234" s="11">
        <v>42609</v>
      </c>
      <c r="C234" s="12">
        <v>30.31</v>
      </c>
      <c r="D234" s="12">
        <v>2.31</v>
      </c>
      <c r="E234" s="15" t="s">
        <v>251</v>
      </c>
      <c r="F234" s="21"/>
      <c r="G234" s="22"/>
      <c r="H234" s="10"/>
      <c r="I234" s="10"/>
    </row>
    <row r="235" spans="1:9" x14ac:dyDescent="0.2">
      <c r="A235" s="10">
        <v>20776</v>
      </c>
      <c r="B235" s="11">
        <v>42609</v>
      </c>
      <c r="C235" s="12">
        <v>188</v>
      </c>
      <c r="D235" s="12">
        <v>14.33</v>
      </c>
      <c r="E235" s="17"/>
      <c r="H235" s="12"/>
      <c r="I235" s="10"/>
    </row>
    <row r="236" spans="1:9" x14ac:dyDescent="0.2">
      <c r="A236" s="10">
        <v>20777</v>
      </c>
      <c r="B236" s="11">
        <v>42609</v>
      </c>
      <c r="C236" s="12">
        <v>74.69</v>
      </c>
      <c r="D236" s="12">
        <v>5.69</v>
      </c>
      <c r="E236" s="15" t="s">
        <v>7</v>
      </c>
      <c r="F236" s="21"/>
      <c r="G236" s="22"/>
      <c r="H236" s="10"/>
      <c r="I236" s="10"/>
    </row>
    <row r="237" spans="1:9" x14ac:dyDescent="0.2">
      <c r="A237" s="10">
        <v>20778</v>
      </c>
      <c r="B237" s="11">
        <v>42609</v>
      </c>
      <c r="C237" s="12">
        <v>226.24</v>
      </c>
      <c r="D237" s="12">
        <v>17.239999999999998</v>
      </c>
      <c r="E237" s="15" t="s">
        <v>759</v>
      </c>
      <c r="F237" s="21"/>
      <c r="G237" s="22"/>
      <c r="H237" s="10"/>
      <c r="I237" s="10"/>
    </row>
    <row r="238" spans="1:9" x14ac:dyDescent="0.2">
      <c r="A238" s="10">
        <v>20779</v>
      </c>
      <c r="B238" s="11">
        <v>42609</v>
      </c>
      <c r="C238" s="12">
        <v>395</v>
      </c>
      <c r="D238" s="12">
        <v>30.1</v>
      </c>
      <c r="E238" s="17"/>
      <c r="H238" s="12"/>
      <c r="I238" s="10"/>
    </row>
    <row r="239" spans="1:9" x14ac:dyDescent="0.2">
      <c r="A239" s="10">
        <v>20780</v>
      </c>
      <c r="B239" s="11">
        <v>42609</v>
      </c>
      <c r="C239" s="12">
        <v>56.29</v>
      </c>
      <c r="D239" s="12">
        <v>4.29</v>
      </c>
      <c r="E239" s="15" t="s">
        <v>760</v>
      </c>
      <c r="H239" s="10"/>
      <c r="I239" s="10"/>
    </row>
    <row r="240" spans="1:9" x14ac:dyDescent="0.2">
      <c r="A240" s="10">
        <v>20781</v>
      </c>
      <c r="B240" s="11">
        <v>42609</v>
      </c>
      <c r="C240" s="12">
        <v>10.83</v>
      </c>
      <c r="D240" s="12">
        <v>0.83</v>
      </c>
      <c r="E240" s="17"/>
      <c r="H240" s="12"/>
      <c r="I240" s="10"/>
    </row>
    <row r="241" spans="1:9" x14ac:dyDescent="0.2">
      <c r="A241" s="10">
        <v>20782</v>
      </c>
      <c r="B241" s="11">
        <v>42609</v>
      </c>
      <c r="C241" s="12">
        <v>47</v>
      </c>
      <c r="D241" s="12"/>
      <c r="E241" s="15" t="s">
        <v>25</v>
      </c>
      <c r="H241" s="10"/>
      <c r="I241" s="10"/>
    </row>
    <row r="242" spans="1:9" x14ac:dyDescent="0.2">
      <c r="A242" s="10">
        <v>20783</v>
      </c>
      <c r="B242" s="11">
        <v>42609</v>
      </c>
      <c r="C242" s="12">
        <v>19.489999999999998</v>
      </c>
      <c r="D242" s="12">
        <v>1.49</v>
      </c>
      <c r="E242" s="15" t="s">
        <v>7</v>
      </c>
      <c r="F242" s="20">
        <f>+C233+C236+100+30+C242</f>
        <v>258.82</v>
      </c>
      <c r="G242" s="20">
        <v>254.86</v>
      </c>
      <c r="H242" s="10"/>
      <c r="I242" s="10"/>
    </row>
    <row r="243" spans="1:9" x14ac:dyDescent="0.2">
      <c r="A243" s="10">
        <v>20784</v>
      </c>
      <c r="B243" s="11">
        <v>42611</v>
      </c>
      <c r="C243" s="12">
        <v>18</v>
      </c>
      <c r="D243" s="12">
        <v>1.37</v>
      </c>
      <c r="E243" s="15" t="s">
        <v>349</v>
      </c>
      <c r="F243" s="21"/>
      <c r="G243" s="22"/>
      <c r="H243" s="10"/>
      <c r="I243" s="10"/>
    </row>
    <row r="244" spans="1:9" x14ac:dyDescent="0.2">
      <c r="A244" s="10">
        <v>20785</v>
      </c>
      <c r="B244" s="11">
        <v>42611</v>
      </c>
      <c r="C244" s="12">
        <v>200</v>
      </c>
      <c r="D244" s="12">
        <v>15.24</v>
      </c>
      <c r="E244" s="17"/>
      <c r="H244" s="12"/>
      <c r="I244" s="10"/>
    </row>
    <row r="245" spans="1:9" x14ac:dyDescent="0.2">
      <c r="A245" s="10">
        <v>20786</v>
      </c>
      <c r="B245" s="11">
        <v>42611</v>
      </c>
      <c r="C245" s="12">
        <v>18.5</v>
      </c>
      <c r="D245" s="12"/>
      <c r="E245" s="13" t="s">
        <v>19</v>
      </c>
      <c r="F245" s="18"/>
      <c r="G245" s="19"/>
      <c r="H245" s="12"/>
      <c r="I245" s="10"/>
    </row>
    <row r="246" spans="1:9" x14ac:dyDescent="0.2">
      <c r="A246" s="10">
        <v>20787</v>
      </c>
      <c r="B246" s="11">
        <v>42611</v>
      </c>
      <c r="C246" s="12">
        <v>71.5</v>
      </c>
      <c r="D246" s="12"/>
      <c r="E246" s="15" t="s">
        <v>761</v>
      </c>
      <c r="F246" s="21"/>
      <c r="G246" s="22"/>
      <c r="H246" s="10"/>
      <c r="I246" s="10"/>
    </row>
    <row r="247" spans="1:9" x14ac:dyDescent="0.2">
      <c r="A247" s="10">
        <v>20788</v>
      </c>
      <c r="B247" s="11">
        <v>42611</v>
      </c>
      <c r="C247" s="12">
        <v>32.479999999999997</v>
      </c>
      <c r="D247" s="12">
        <v>2.48</v>
      </c>
      <c r="E247" s="15" t="s">
        <v>11</v>
      </c>
      <c r="F247" s="21"/>
      <c r="G247" s="22"/>
      <c r="H247" s="10"/>
      <c r="I247" s="10"/>
    </row>
    <row r="248" spans="1:9" x14ac:dyDescent="0.2">
      <c r="A248" s="10">
        <v>20789</v>
      </c>
      <c r="B248" s="11">
        <v>42611</v>
      </c>
      <c r="C248" s="12">
        <v>59</v>
      </c>
      <c r="D248" s="12"/>
      <c r="E248" s="13" t="s">
        <v>8</v>
      </c>
      <c r="F248" s="18"/>
      <c r="G248" s="19"/>
      <c r="H248" s="12"/>
      <c r="I248" s="10"/>
    </row>
    <row r="249" spans="1:9" x14ac:dyDescent="0.2">
      <c r="A249" s="10">
        <v>20790</v>
      </c>
      <c r="B249" s="11">
        <v>42611</v>
      </c>
      <c r="C249" s="12">
        <v>6.5</v>
      </c>
      <c r="D249" s="12">
        <v>0.5</v>
      </c>
      <c r="E249" s="17"/>
      <c r="F249" s="18"/>
      <c r="G249" s="19"/>
      <c r="H249" s="12"/>
      <c r="I249" s="10"/>
    </row>
    <row r="250" spans="1:9" x14ac:dyDescent="0.2">
      <c r="A250" s="10">
        <v>20791</v>
      </c>
      <c r="B250" s="11">
        <v>42611</v>
      </c>
      <c r="C250" s="12">
        <v>53.04</v>
      </c>
      <c r="D250" s="12">
        <v>4.04</v>
      </c>
      <c r="E250" s="17"/>
      <c r="H250" s="12"/>
      <c r="I250" s="10"/>
    </row>
    <row r="251" spans="1:9" x14ac:dyDescent="0.2">
      <c r="A251" s="10">
        <v>20792</v>
      </c>
      <c r="B251" s="11">
        <v>42611</v>
      </c>
      <c r="C251" s="12">
        <v>21.65</v>
      </c>
      <c r="D251" s="12">
        <v>1.65</v>
      </c>
      <c r="E251" s="17"/>
      <c r="H251" s="12"/>
      <c r="I251" s="10"/>
    </row>
    <row r="252" spans="1:9" x14ac:dyDescent="0.2">
      <c r="A252" s="10">
        <v>20793</v>
      </c>
      <c r="B252" s="11">
        <v>42611</v>
      </c>
      <c r="C252" s="12"/>
      <c r="D252" s="12"/>
      <c r="E252" s="15" t="s">
        <v>762</v>
      </c>
      <c r="F252" s="21"/>
      <c r="G252" s="22"/>
      <c r="H252" s="10"/>
      <c r="I252" s="10"/>
    </row>
    <row r="253" spans="1:9" x14ac:dyDescent="0.2">
      <c r="A253" s="10">
        <v>20794</v>
      </c>
      <c r="B253" s="11">
        <v>42611</v>
      </c>
      <c r="C253" s="12">
        <v>9.1500000000000021</v>
      </c>
      <c r="D253" s="12">
        <v>0.7</v>
      </c>
      <c r="E253" s="13"/>
      <c r="F253" s="18"/>
      <c r="G253" s="19"/>
      <c r="H253" s="12"/>
      <c r="I253" s="10"/>
    </row>
    <row r="254" spans="1:9" x14ac:dyDescent="0.2">
      <c r="A254" s="10">
        <v>20795</v>
      </c>
      <c r="B254" s="11">
        <v>42611</v>
      </c>
      <c r="C254" s="12">
        <v>87.68</v>
      </c>
      <c r="D254" s="12">
        <v>6.68</v>
      </c>
      <c r="E254" s="15" t="s">
        <v>21</v>
      </c>
      <c r="F254" s="20">
        <f>+C247</f>
        <v>32.479999999999997</v>
      </c>
      <c r="G254" s="20">
        <v>32.049999999999997</v>
      </c>
      <c r="H254" s="10"/>
      <c r="I254" s="10"/>
    </row>
    <row r="255" spans="1:9" x14ac:dyDescent="0.2">
      <c r="A255" s="10">
        <v>20796</v>
      </c>
      <c r="B255" s="11">
        <v>42612</v>
      </c>
      <c r="C255" s="12">
        <v>92.04</v>
      </c>
      <c r="D255" s="12"/>
      <c r="E255" s="15" t="s">
        <v>761</v>
      </c>
      <c r="H255" s="10"/>
      <c r="I255" s="10"/>
    </row>
    <row r="256" spans="1:9" x14ac:dyDescent="0.2">
      <c r="A256" s="10">
        <v>20797</v>
      </c>
      <c r="B256" s="11">
        <v>42612</v>
      </c>
      <c r="C256" s="12">
        <v>300</v>
      </c>
      <c r="D256" s="12">
        <v>22.86</v>
      </c>
      <c r="E256" s="15"/>
      <c r="H256" s="10"/>
      <c r="I256" s="10"/>
    </row>
    <row r="257" spans="1:12" x14ac:dyDescent="0.2">
      <c r="A257" s="10">
        <v>20798</v>
      </c>
      <c r="B257" s="11">
        <v>42612</v>
      </c>
      <c r="C257" s="12">
        <v>117.99</v>
      </c>
      <c r="D257" s="12">
        <v>8.99</v>
      </c>
      <c r="E257" s="17"/>
      <c r="F257" s="18"/>
      <c r="G257" s="19"/>
      <c r="H257" s="12"/>
      <c r="I257" s="10"/>
    </row>
    <row r="258" spans="1:12" x14ac:dyDescent="0.2">
      <c r="A258" s="10">
        <v>20799</v>
      </c>
      <c r="B258" s="11">
        <v>42612</v>
      </c>
      <c r="C258" s="12">
        <v>197</v>
      </c>
      <c r="D258" s="12">
        <v>15.01</v>
      </c>
      <c r="E258" s="17"/>
      <c r="H258" s="12"/>
      <c r="I258" s="10"/>
    </row>
    <row r="259" spans="1:12" x14ac:dyDescent="0.2">
      <c r="A259" s="10">
        <v>20800</v>
      </c>
      <c r="B259" s="11">
        <v>42612</v>
      </c>
      <c r="C259" s="12">
        <v>527.17999999999995</v>
      </c>
      <c r="D259" s="12">
        <v>40.18</v>
      </c>
      <c r="E259" s="15" t="s">
        <v>11</v>
      </c>
      <c r="F259" s="20">
        <f>+C259</f>
        <v>527.17999999999995</v>
      </c>
      <c r="G259" s="20">
        <v>509.8</v>
      </c>
      <c r="H259" s="10"/>
      <c r="I259" s="10"/>
    </row>
    <row r="260" spans="1:12" x14ac:dyDescent="0.2">
      <c r="A260" s="10">
        <v>20801</v>
      </c>
      <c r="B260" s="11">
        <v>42613</v>
      </c>
      <c r="C260" s="12">
        <v>159.5</v>
      </c>
      <c r="D260" s="12"/>
      <c r="E260" s="15" t="s">
        <v>763</v>
      </c>
      <c r="F260" s="21"/>
      <c r="G260" s="22"/>
      <c r="H260" s="10"/>
      <c r="I260" s="10"/>
    </row>
    <row r="261" spans="1:12" x14ac:dyDescent="0.2">
      <c r="A261" s="10">
        <v>20802</v>
      </c>
      <c r="B261" s="11">
        <v>42613</v>
      </c>
      <c r="C261" s="12">
        <v>194.3</v>
      </c>
      <c r="D261" s="12"/>
      <c r="E261" s="15" t="s">
        <v>235</v>
      </c>
      <c r="I261" s="10"/>
    </row>
    <row r="262" spans="1:12" x14ac:dyDescent="0.2">
      <c r="A262" s="10">
        <v>20803</v>
      </c>
      <c r="B262" s="11">
        <v>42613</v>
      </c>
      <c r="C262" s="12">
        <v>130</v>
      </c>
      <c r="D262" s="12">
        <v>9.91</v>
      </c>
      <c r="E262" s="17"/>
      <c r="F262" s="18"/>
      <c r="G262" s="19"/>
      <c r="H262" s="12"/>
      <c r="I262" s="10"/>
    </row>
    <row r="263" spans="1:12" x14ac:dyDescent="0.2">
      <c r="A263" s="10">
        <v>20804</v>
      </c>
      <c r="B263" s="11">
        <v>42613</v>
      </c>
      <c r="C263" s="12">
        <v>18</v>
      </c>
      <c r="D263" s="12"/>
      <c r="E263" s="15" t="s">
        <v>25</v>
      </c>
      <c r="I263" s="10"/>
    </row>
    <row r="264" spans="1:12" x14ac:dyDescent="0.2">
      <c r="A264" s="10">
        <v>20805</v>
      </c>
      <c r="B264" s="11">
        <v>42613</v>
      </c>
      <c r="C264" s="12">
        <v>380</v>
      </c>
      <c r="D264" s="12">
        <v>28.96</v>
      </c>
      <c r="E264" s="17"/>
      <c r="F264" s="18"/>
      <c r="G264" s="19"/>
      <c r="H264" s="12"/>
      <c r="I264" s="10"/>
    </row>
    <row r="265" spans="1:12" x14ac:dyDescent="0.2">
      <c r="A265" s="10">
        <v>20806</v>
      </c>
      <c r="B265" s="11">
        <v>42613</v>
      </c>
      <c r="C265" s="12">
        <v>134.67000000000002</v>
      </c>
      <c r="D265" s="12"/>
      <c r="E265" s="15" t="s">
        <v>764</v>
      </c>
      <c r="I265" s="10"/>
    </row>
    <row r="266" spans="1:12" x14ac:dyDescent="0.2">
      <c r="A266" s="10">
        <v>20807</v>
      </c>
      <c r="B266" s="11">
        <v>42613</v>
      </c>
      <c r="C266" s="12">
        <v>758.83</v>
      </c>
      <c r="D266" s="12">
        <v>57.83</v>
      </c>
      <c r="E266" s="17"/>
      <c r="I266" s="10"/>
    </row>
    <row r="267" spans="1:12" x14ac:dyDescent="0.2">
      <c r="A267" s="10">
        <v>20808</v>
      </c>
      <c r="B267" s="11">
        <v>42613</v>
      </c>
      <c r="C267" s="12">
        <v>24</v>
      </c>
      <c r="D267" s="12">
        <v>1.82</v>
      </c>
      <c r="E267" s="15" t="s">
        <v>523</v>
      </c>
      <c r="F267" s="21"/>
      <c r="G267" s="22"/>
      <c r="H267" s="10"/>
      <c r="I267" s="10"/>
    </row>
    <row r="268" spans="1:12" x14ac:dyDescent="0.2">
      <c r="A268" s="10">
        <v>20809</v>
      </c>
      <c r="B268" s="11">
        <v>42613</v>
      </c>
      <c r="C268" s="12">
        <v>12</v>
      </c>
      <c r="D268" s="12">
        <v>0.91</v>
      </c>
      <c r="E268" s="17"/>
      <c r="F268" s="20">
        <f>636.6+C267+159.5</f>
        <v>820.1</v>
      </c>
      <c r="G268" s="20">
        <f>657.46+138.36</f>
        <v>795.82</v>
      </c>
      <c r="H268" s="114"/>
      <c r="I268" s="10"/>
    </row>
    <row r="269" spans="1:12" s="8" customFormat="1" x14ac:dyDescent="0.2">
      <c r="A269" s="1"/>
      <c r="B269" s="6"/>
      <c r="C269" s="7"/>
      <c r="D269" s="6"/>
      <c r="E269" s="6"/>
      <c r="G269" s="211"/>
      <c r="H269" s="209"/>
      <c r="I269" s="210"/>
      <c r="J269" s="210"/>
      <c r="K269" s="210"/>
      <c r="L269" s="210"/>
    </row>
    <row r="270" spans="1:12" x14ac:dyDescent="0.2">
      <c r="E270" s="26"/>
      <c r="G270" s="184"/>
      <c r="H270" s="212"/>
      <c r="I270" s="213">
        <f ca="1">H1-WEEKDAY(H1,3)-7</f>
        <v>43171</v>
      </c>
      <c r="J270" s="214" t="e">
        <f t="shared" ref="J270:J283" ca="1" si="0">SUMIF(INDIRECT(TEXT(I270,"'mmm-yy'")&amp;"!B3:B400"),I270,INDIRECT(TEXT(I270,"'mmm-yy'")&amp;"!C3:C400"))</f>
        <v>#REF!</v>
      </c>
      <c r="K270" s="214"/>
      <c r="L270" s="217"/>
    </row>
    <row r="271" spans="1:12" x14ac:dyDescent="0.2">
      <c r="E271" s="26"/>
      <c r="G271" s="184"/>
      <c r="H271" s="215"/>
      <c r="I271" s="213">
        <f t="shared" ref="I271:I283" ca="1" si="1">I270+1</f>
        <v>43172</v>
      </c>
      <c r="J271" s="214" t="e">
        <f t="shared" ca="1" si="0"/>
        <v>#REF!</v>
      </c>
      <c r="K271" s="214"/>
      <c r="L271" s="217"/>
    </row>
    <row r="272" spans="1:12" x14ac:dyDescent="0.2">
      <c r="E272" s="26"/>
      <c r="G272" s="184"/>
      <c r="H272" s="215"/>
      <c r="I272" s="213">
        <f t="shared" ca="1" si="1"/>
        <v>43173</v>
      </c>
      <c r="J272" s="214" t="e">
        <f t="shared" ca="1" si="0"/>
        <v>#REF!</v>
      </c>
      <c r="K272" s="214"/>
      <c r="L272" s="217"/>
    </row>
    <row r="273" spans="5:12" x14ac:dyDescent="0.2">
      <c r="E273" s="26"/>
      <c r="G273" s="184"/>
      <c r="H273" s="212"/>
      <c r="I273" s="213">
        <f t="shared" ca="1" si="1"/>
        <v>43174</v>
      </c>
      <c r="J273" s="214" t="e">
        <f t="shared" ca="1" si="0"/>
        <v>#REF!</v>
      </c>
      <c r="K273" s="214"/>
      <c r="L273" s="217"/>
    </row>
    <row r="274" spans="5:12" x14ac:dyDescent="0.2">
      <c r="E274" s="26"/>
      <c r="G274" s="184"/>
      <c r="H274" s="212"/>
      <c r="I274" s="213">
        <f t="shared" ca="1" si="1"/>
        <v>43175</v>
      </c>
      <c r="J274" s="214" t="e">
        <f t="shared" ca="1" si="0"/>
        <v>#REF!</v>
      </c>
      <c r="K274" s="214"/>
      <c r="L274" s="217"/>
    </row>
    <row r="275" spans="5:12" x14ac:dyDescent="0.2">
      <c r="E275" s="26"/>
      <c r="G275" s="184"/>
      <c r="H275" s="215"/>
      <c r="I275" s="213">
        <f t="shared" ca="1" si="1"/>
        <v>43176</v>
      </c>
      <c r="J275" s="214" t="e">
        <f t="shared" ca="1" si="0"/>
        <v>#REF!</v>
      </c>
      <c r="K275" s="214"/>
      <c r="L275" s="217"/>
    </row>
    <row r="276" spans="5:12" x14ac:dyDescent="0.2">
      <c r="E276" s="26"/>
      <c r="G276" s="184"/>
      <c r="H276" s="215"/>
      <c r="I276" s="213">
        <f t="shared" ca="1" si="1"/>
        <v>43177</v>
      </c>
      <c r="J276" s="214" t="e">
        <f t="shared" ca="1" si="0"/>
        <v>#REF!</v>
      </c>
      <c r="K276" s="214" t="e">
        <f ca="1">SUM(J270:J276)</f>
        <v>#REF!</v>
      </c>
      <c r="L276" s="217"/>
    </row>
    <row r="277" spans="5:12" x14ac:dyDescent="0.2">
      <c r="E277" s="26"/>
      <c r="G277" s="184"/>
      <c r="H277" s="212"/>
      <c r="I277" s="213">
        <f t="shared" ca="1" si="1"/>
        <v>43178</v>
      </c>
      <c r="J277" s="214" t="e">
        <f t="shared" ca="1" si="0"/>
        <v>#REF!</v>
      </c>
      <c r="K277" s="214"/>
      <c r="L277" s="217"/>
    </row>
    <row r="278" spans="5:12" x14ac:dyDescent="0.2">
      <c r="E278" s="26"/>
      <c r="G278" s="184"/>
      <c r="H278" s="215"/>
      <c r="I278" s="213">
        <f t="shared" ca="1" si="1"/>
        <v>43179</v>
      </c>
      <c r="J278" s="214" t="e">
        <f t="shared" ca="1" si="0"/>
        <v>#REF!</v>
      </c>
      <c r="K278" s="214"/>
      <c r="L278" s="217"/>
    </row>
    <row r="279" spans="5:12" x14ac:dyDescent="0.2">
      <c r="E279" s="26"/>
      <c r="G279" s="184"/>
      <c r="H279" s="215"/>
      <c r="I279" s="213">
        <f t="shared" ca="1" si="1"/>
        <v>43180</v>
      </c>
      <c r="J279" s="214" t="e">
        <f t="shared" ca="1" si="0"/>
        <v>#REF!</v>
      </c>
      <c r="K279" s="214"/>
      <c r="L279" s="217"/>
    </row>
    <row r="280" spans="5:12" x14ac:dyDescent="0.2">
      <c r="E280" s="26"/>
      <c r="G280" s="184"/>
      <c r="H280" s="215"/>
      <c r="I280" s="213">
        <f t="shared" ca="1" si="1"/>
        <v>43181</v>
      </c>
      <c r="J280" s="214" t="e">
        <f t="shared" ca="1" si="0"/>
        <v>#REF!</v>
      </c>
      <c r="K280" s="214"/>
      <c r="L280" s="217"/>
    </row>
    <row r="281" spans="5:12" x14ac:dyDescent="0.2">
      <c r="E281" s="26"/>
      <c r="G281" s="184"/>
      <c r="H281" s="215"/>
      <c r="I281" s="213">
        <f t="shared" ca="1" si="1"/>
        <v>43182</v>
      </c>
      <c r="J281" s="214" t="e">
        <f t="shared" ca="1" si="0"/>
        <v>#REF!</v>
      </c>
      <c r="K281" s="214"/>
      <c r="L281" s="217"/>
    </row>
    <row r="282" spans="5:12" x14ac:dyDescent="0.2">
      <c r="E282" s="26"/>
      <c r="G282" s="184"/>
      <c r="H282" s="215"/>
      <c r="I282" s="213">
        <f t="shared" ca="1" si="1"/>
        <v>43183</v>
      </c>
      <c r="J282" s="214" t="e">
        <f t="shared" ca="1" si="0"/>
        <v>#REF!</v>
      </c>
      <c r="K282" s="214"/>
      <c r="L282" s="217"/>
    </row>
    <row r="283" spans="5:12" x14ac:dyDescent="0.2">
      <c r="E283" s="26"/>
      <c r="G283" s="184"/>
      <c r="H283" s="215"/>
      <c r="I283" s="213">
        <f t="shared" ca="1" si="1"/>
        <v>43184</v>
      </c>
      <c r="J283" s="214" t="e">
        <f t="shared" ca="1" si="0"/>
        <v>#REF!</v>
      </c>
      <c r="K283" s="214" t="e">
        <f ca="1">SUM(J277:J283)</f>
        <v>#REF!</v>
      </c>
      <c r="L283" s="217"/>
    </row>
    <row r="284" spans="5:12" x14ac:dyDescent="0.2">
      <c r="E284" s="26"/>
      <c r="G284" s="184"/>
      <c r="H284" s="216"/>
      <c r="I284" s="217"/>
      <c r="J284" s="214"/>
      <c r="K284" s="217"/>
      <c r="L284" s="217"/>
    </row>
    <row r="285" spans="5:12" x14ac:dyDescent="0.2">
      <c r="E285" s="26"/>
      <c r="G285" s="184"/>
      <c r="H285" s="216"/>
      <c r="I285" s="217"/>
      <c r="J285" s="217"/>
      <c r="K285" s="214"/>
      <c r="L285" s="217"/>
    </row>
    <row r="286" spans="5:12" x14ac:dyDescent="0.2">
      <c r="E286" s="26"/>
      <c r="G286" s="184"/>
      <c r="H286" s="216"/>
      <c r="I286" s="217"/>
      <c r="J286" s="217"/>
      <c r="K286" s="217"/>
      <c r="L286" s="217"/>
    </row>
    <row r="287" spans="5:12" x14ac:dyDescent="0.2">
      <c r="E287" s="26"/>
      <c r="G287" s="184"/>
      <c r="H287" s="216"/>
      <c r="I287" s="217"/>
      <c r="J287" s="217"/>
      <c r="K287" s="217"/>
      <c r="L287" s="217"/>
    </row>
    <row r="288" spans="5:12" x14ac:dyDescent="0.2">
      <c r="E288" s="26"/>
      <c r="G288" s="184"/>
      <c r="H288" s="216"/>
      <c r="I288" s="217"/>
      <c r="J288" s="217"/>
      <c r="K288" s="217"/>
      <c r="L288" s="217"/>
    </row>
    <row r="289" spans="5:12" x14ac:dyDescent="0.2">
      <c r="E289" s="26"/>
      <c r="G289" s="184"/>
      <c r="H289" s="216"/>
      <c r="I289" s="217"/>
      <c r="J289" s="217"/>
      <c r="K289" s="217"/>
      <c r="L289" s="217"/>
    </row>
    <row r="290" spans="5:12" x14ac:dyDescent="0.2">
      <c r="E290" s="26"/>
      <c r="H290" s="199"/>
      <c r="I290" s="184"/>
      <c r="J290" s="184"/>
      <c r="K290" s="184"/>
      <c r="L290" s="184"/>
    </row>
    <row r="291" spans="5:12" x14ac:dyDescent="0.2">
      <c r="E291" s="26"/>
    </row>
    <row r="292" spans="5:12" x14ac:dyDescent="0.2">
      <c r="E292" s="26"/>
    </row>
    <row r="293" spans="5:12" x14ac:dyDescent="0.2">
      <c r="E293" s="26"/>
    </row>
    <row r="294" spans="5:12" x14ac:dyDescent="0.2">
      <c r="E294" s="26"/>
    </row>
    <row r="295" spans="5:12" x14ac:dyDescent="0.2">
      <c r="E295" s="26"/>
    </row>
    <row r="296" spans="5:12" x14ac:dyDescent="0.2">
      <c r="E296" s="26"/>
    </row>
    <row r="297" spans="5:12" x14ac:dyDescent="0.2">
      <c r="E297" s="26"/>
    </row>
    <row r="298" spans="5:12" x14ac:dyDescent="0.2">
      <c r="E298" s="26"/>
    </row>
    <row r="299" spans="5:12" x14ac:dyDescent="0.2">
      <c r="E299" s="26"/>
    </row>
    <row r="300" spans="5:12" x14ac:dyDescent="0.2">
      <c r="E300" s="26"/>
    </row>
    <row r="301" spans="5:12" x14ac:dyDescent="0.2">
      <c r="E301" s="26"/>
    </row>
    <row r="302" spans="5:12" x14ac:dyDescent="0.2">
      <c r="E302" s="26"/>
    </row>
    <row r="303" spans="5:12" x14ac:dyDescent="0.2">
      <c r="E303" s="26"/>
    </row>
    <row r="304" spans="5:12" x14ac:dyDescent="0.2">
      <c r="E304" s="26"/>
    </row>
    <row r="305" spans="2:8" x14ac:dyDescent="0.2">
      <c r="E305" s="26"/>
    </row>
    <row r="306" spans="2:8" x14ac:dyDescent="0.2">
      <c r="E306" s="26"/>
    </row>
    <row r="307" spans="2:8" x14ac:dyDescent="0.2">
      <c r="E307" s="26"/>
    </row>
    <row r="308" spans="2:8" x14ac:dyDescent="0.2">
      <c r="E308" s="26"/>
    </row>
    <row r="309" spans="2:8" s="29" customFormat="1" x14ac:dyDescent="0.2">
      <c r="B309" s="30"/>
      <c r="C309" s="31"/>
      <c r="E309" s="32"/>
      <c r="H309" s="31"/>
    </row>
    <row r="310" spans="2:8" s="29" customFormat="1" x14ac:dyDescent="0.2">
      <c r="B310" s="30"/>
      <c r="C310" s="31"/>
      <c r="E310" s="32"/>
      <c r="H310" s="31"/>
    </row>
    <row r="311" spans="2:8" x14ac:dyDescent="0.2">
      <c r="E311" s="26"/>
    </row>
    <row r="312" spans="2:8" x14ac:dyDescent="0.2">
      <c r="E312" s="26"/>
    </row>
    <row r="313" spans="2:8" x14ac:dyDescent="0.2">
      <c r="E313" s="26"/>
    </row>
    <row r="314" spans="2:8" x14ac:dyDescent="0.2">
      <c r="E314" s="26"/>
    </row>
    <row r="315" spans="2:8" x14ac:dyDescent="0.2">
      <c r="E315" s="26"/>
    </row>
    <row r="316" spans="2:8" x14ac:dyDescent="0.2">
      <c r="E316" s="26"/>
    </row>
    <row r="317" spans="2:8" x14ac:dyDescent="0.2">
      <c r="E317" s="26"/>
    </row>
    <row r="318" spans="2:8" x14ac:dyDescent="0.2">
      <c r="E318" s="26"/>
    </row>
    <row r="319" spans="2:8" x14ac:dyDescent="0.2">
      <c r="E319" s="26"/>
    </row>
    <row r="320" spans="2:8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273"/>
  <sheetViews>
    <sheetView topLeftCell="A211" workbookViewId="0">
      <selection activeCell="A259" sqref="A259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SUM(C3:C455)</f>
        <v>28036.220000000012</v>
      </c>
      <c r="D1" s="3">
        <f>SUM(D3:D455)</f>
        <v>1646.5600000000004</v>
      </c>
      <c r="F1" s="166" t="e">
        <f>SUM(F3:F3413)</f>
        <v>#REF!</v>
      </c>
      <c r="G1" s="166" t="e">
        <f>SUM(G3:G3413)</f>
        <v>#REF!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20810</v>
      </c>
      <c r="B3" s="11">
        <v>42614</v>
      </c>
      <c r="C3" s="12">
        <v>53.04</v>
      </c>
      <c r="D3" s="12">
        <v>4.04</v>
      </c>
      <c r="E3" s="15" t="s">
        <v>11</v>
      </c>
      <c r="F3" s="10"/>
      <c r="G3" s="10"/>
      <c r="H3" s="10"/>
      <c r="I3" s="10"/>
    </row>
    <row r="4" spans="1:10" x14ac:dyDescent="0.2">
      <c r="A4" s="10">
        <v>20811</v>
      </c>
      <c r="B4" s="11">
        <v>42614</v>
      </c>
      <c r="C4" s="12">
        <v>16.239999999999998</v>
      </c>
      <c r="D4" s="12">
        <v>1.24</v>
      </c>
      <c r="E4" s="15" t="s">
        <v>7</v>
      </c>
      <c r="H4" s="10"/>
      <c r="I4" s="10"/>
    </row>
    <row r="5" spans="1:10" x14ac:dyDescent="0.2">
      <c r="A5" s="10">
        <v>20812</v>
      </c>
      <c r="B5" s="11">
        <v>42614</v>
      </c>
      <c r="C5" s="12">
        <v>24.9</v>
      </c>
      <c r="D5" s="12">
        <v>1.9</v>
      </c>
      <c r="E5" s="15" t="s">
        <v>7</v>
      </c>
      <c r="H5" s="10"/>
      <c r="I5" s="10"/>
    </row>
    <row r="6" spans="1:10" x14ac:dyDescent="0.2">
      <c r="A6" s="10">
        <v>20813</v>
      </c>
      <c r="B6" s="11">
        <v>42614</v>
      </c>
      <c r="C6" s="12">
        <v>135.20000000000002</v>
      </c>
      <c r="D6" s="12">
        <v>10.3</v>
      </c>
      <c r="E6" s="15" t="s">
        <v>11</v>
      </c>
      <c r="H6" s="10"/>
      <c r="I6" s="10"/>
    </row>
    <row r="7" spans="1:10" x14ac:dyDescent="0.2">
      <c r="A7" s="10">
        <v>20814</v>
      </c>
      <c r="B7" s="11">
        <v>42614</v>
      </c>
      <c r="C7" s="12">
        <v>115.83</v>
      </c>
      <c r="D7" s="12">
        <v>8.83</v>
      </c>
      <c r="E7" s="17"/>
      <c r="F7" s="18"/>
      <c r="G7" s="19"/>
      <c r="H7" s="12"/>
      <c r="I7" s="10"/>
    </row>
    <row r="8" spans="1:10" x14ac:dyDescent="0.2">
      <c r="A8" s="10">
        <v>20815</v>
      </c>
      <c r="B8" s="11">
        <v>42614</v>
      </c>
      <c r="C8" s="12">
        <v>102.84</v>
      </c>
      <c r="D8" s="12">
        <v>7.84</v>
      </c>
      <c r="E8" s="17"/>
      <c r="F8" s="18"/>
      <c r="G8" s="19"/>
      <c r="H8" s="12"/>
      <c r="I8" s="10"/>
    </row>
    <row r="9" spans="1:10" x14ac:dyDescent="0.2">
      <c r="A9" s="10">
        <v>20816</v>
      </c>
      <c r="B9" s="11">
        <v>42614</v>
      </c>
      <c r="C9" s="12">
        <v>8.75</v>
      </c>
      <c r="D9" s="12"/>
      <c r="E9" s="15" t="s">
        <v>765</v>
      </c>
      <c r="H9" s="10"/>
      <c r="I9" s="10"/>
    </row>
    <row r="10" spans="1:10" x14ac:dyDescent="0.2">
      <c r="A10" s="10">
        <v>20817</v>
      </c>
      <c r="B10" s="11">
        <v>42614</v>
      </c>
      <c r="C10" s="12">
        <v>80.11</v>
      </c>
      <c r="D10" s="12">
        <v>6.11</v>
      </c>
      <c r="E10" s="15" t="s">
        <v>533</v>
      </c>
      <c r="H10" s="10"/>
      <c r="I10" s="10"/>
    </row>
    <row r="11" spans="1:10" x14ac:dyDescent="0.2">
      <c r="A11" s="10">
        <v>20818</v>
      </c>
      <c r="B11" s="11">
        <v>42614</v>
      </c>
      <c r="C11" s="12">
        <v>7.5</v>
      </c>
      <c r="D11" s="12"/>
      <c r="E11" s="15" t="s">
        <v>25</v>
      </c>
      <c r="F11" s="20">
        <f>+C3+C4+C5+C6</f>
        <v>229.38000000000002</v>
      </c>
      <c r="G11" s="20">
        <v>223.99</v>
      </c>
      <c r="H11" s="10"/>
      <c r="I11" s="10"/>
    </row>
    <row r="12" spans="1:10" x14ac:dyDescent="0.2">
      <c r="A12" s="10">
        <v>20819</v>
      </c>
      <c r="B12" s="11">
        <v>42615</v>
      </c>
      <c r="C12" s="12">
        <v>124.49</v>
      </c>
      <c r="D12" s="12">
        <v>9.49</v>
      </c>
      <c r="E12" s="13" t="s">
        <v>766</v>
      </c>
      <c r="H12" s="12"/>
      <c r="I12" s="10"/>
    </row>
    <row r="13" spans="1:10" x14ac:dyDescent="0.2">
      <c r="A13" s="10">
        <v>20820</v>
      </c>
      <c r="B13" s="11">
        <v>42615</v>
      </c>
      <c r="C13" s="12">
        <v>105.5</v>
      </c>
      <c r="D13" s="12"/>
      <c r="E13" s="15" t="s">
        <v>563</v>
      </c>
      <c r="F13" s="21"/>
      <c r="G13" s="22"/>
      <c r="H13" s="10"/>
      <c r="I13" s="10"/>
    </row>
    <row r="14" spans="1:10" x14ac:dyDescent="0.2">
      <c r="A14" s="10">
        <v>20821</v>
      </c>
      <c r="B14" s="11">
        <v>42615</v>
      </c>
      <c r="C14" s="12">
        <v>77.070000000000007</v>
      </c>
      <c r="D14" s="12">
        <v>5.87</v>
      </c>
      <c r="E14" s="15" t="s">
        <v>11</v>
      </c>
      <c r="F14" s="21"/>
      <c r="G14" s="22"/>
      <c r="H14" s="10"/>
      <c r="I14" s="10"/>
    </row>
    <row r="15" spans="1:10" x14ac:dyDescent="0.2">
      <c r="A15" s="10">
        <v>20822</v>
      </c>
      <c r="B15" s="11">
        <v>42615</v>
      </c>
      <c r="C15" s="12">
        <v>91.9</v>
      </c>
      <c r="D15" s="12">
        <v>7</v>
      </c>
      <c r="E15" s="17"/>
      <c r="I15" s="10"/>
    </row>
    <row r="16" spans="1:10" x14ac:dyDescent="0.2">
      <c r="A16" s="10">
        <v>20823</v>
      </c>
      <c r="B16" s="11">
        <v>42615</v>
      </c>
      <c r="C16" s="12">
        <v>2.6500000000000004</v>
      </c>
      <c r="D16" s="12">
        <v>0.2</v>
      </c>
      <c r="E16" s="17"/>
      <c r="I16" s="10"/>
    </row>
    <row r="17" spans="1:9" x14ac:dyDescent="0.2">
      <c r="A17" s="10">
        <v>20824</v>
      </c>
      <c r="B17" s="11">
        <v>42615</v>
      </c>
      <c r="C17" s="12">
        <v>23.82</v>
      </c>
      <c r="D17" s="12">
        <v>1.82</v>
      </c>
      <c r="E17" s="17"/>
      <c r="F17" s="18"/>
      <c r="G17" s="19"/>
      <c r="H17" s="12"/>
      <c r="I17" s="10"/>
    </row>
    <row r="18" spans="1:9" x14ac:dyDescent="0.2">
      <c r="A18" s="10">
        <v>20825</v>
      </c>
      <c r="B18" s="11">
        <v>42615</v>
      </c>
      <c r="C18" s="12">
        <v>54.13</v>
      </c>
      <c r="D18" s="12">
        <v>4.13</v>
      </c>
      <c r="E18" s="17"/>
      <c r="I18" s="10"/>
    </row>
    <row r="19" spans="1:9" x14ac:dyDescent="0.2">
      <c r="A19" s="10">
        <v>20826</v>
      </c>
      <c r="B19" s="11">
        <v>42615</v>
      </c>
      <c r="C19" s="12">
        <v>3</v>
      </c>
      <c r="D19" s="12">
        <v>0.23</v>
      </c>
      <c r="E19" s="17"/>
      <c r="F19" s="18"/>
      <c r="G19" s="19"/>
      <c r="H19" s="12"/>
      <c r="I19" s="10"/>
    </row>
    <row r="20" spans="1:9" x14ac:dyDescent="0.2">
      <c r="A20" s="10">
        <v>20827</v>
      </c>
      <c r="B20" s="11">
        <v>42615</v>
      </c>
      <c r="C20" s="12">
        <v>103.12</v>
      </c>
      <c r="D20" s="12"/>
      <c r="E20" s="15" t="s">
        <v>16</v>
      </c>
      <c r="F20" s="134">
        <f>94.49+C14</f>
        <v>171.56</v>
      </c>
      <c r="G20" s="123">
        <f>+F20*0.97831</f>
        <v>167.8388636</v>
      </c>
      <c r="H20" s="161" t="s">
        <v>767</v>
      </c>
      <c r="I20" s="10"/>
    </row>
    <row r="21" spans="1:9" x14ac:dyDescent="0.2">
      <c r="A21" s="10">
        <v>20828</v>
      </c>
      <c r="B21" s="11">
        <v>42616</v>
      </c>
      <c r="C21" s="12">
        <v>31.61</v>
      </c>
      <c r="D21" s="12">
        <v>2.41</v>
      </c>
      <c r="E21" s="15" t="s">
        <v>11</v>
      </c>
      <c r="F21" s="21"/>
      <c r="G21" s="22"/>
      <c r="H21" s="10"/>
      <c r="I21" s="10"/>
    </row>
    <row r="22" spans="1:9" x14ac:dyDescent="0.2">
      <c r="A22" s="10">
        <v>20829</v>
      </c>
      <c r="B22" s="11">
        <v>42616</v>
      </c>
      <c r="C22" s="12">
        <v>195.93</v>
      </c>
      <c r="D22" s="12">
        <v>14.93</v>
      </c>
      <c r="E22" s="15" t="s">
        <v>11</v>
      </c>
      <c r="F22" s="21"/>
      <c r="G22" s="22"/>
      <c r="H22" s="10"/>
      <c r="I22" s="10"/>
    </row>
    <row r="23" spans="1:9" x14ac:dyDescent="0.2">
      <c r="A23" s="10">
        <v>20830</v>
      </c>
      <c r="B23" s="11">
        <v>42616</v>
      </c>
      <c r="C23" s="12">
        <v>36.26</v>
      </c>
      <c r="D23" s="12">
        <v>2.76</v>
      </c>
      <c r="E23" s="15" t="s">
        <v>11</v>
      </c>
      <c r="H23" s="10"/>
      <c r="I23" s="10"/>
    </row>
    <row r="24" spans="1:9" x14ac:dyDescent="0.2">
      <c r="A24" s="10">
        <v>20831</v>
      </c>
      <c r="B24" s="11">
        <v>42616</v>
      </c>
      <c r="C24" s="12">
        <v>15</v>
      </c>
      <c r="D24" s="12">
        <v>1.1399999999999999</v>
      </c>
      <c r="E24" s="17"/>
      <c r="H24" s="12"/>
      <c r="I24" s="10"/>
    </row>
    <row r="25" spans="1:9" x14ac:dyDescent="0.2">
      <c r="A25" s="10">
        <v>20832</v>
      </c>
      <c r="B25" s="11">
        <v>42616</v>
      </c>
      <c r="C25" s="12">
        <v>572.64</v>
      </c>
      <c r="D25" s="12">
        <v>43.64</v>
      </c>
      <c r="E25" s="15" t="s">
        <v>11</v>
      </c>
      <c r="H25" s="10"/>
      <c r="I25" s="10"/>
    </row>
    <row r="26" spans="1:9" x14ac:dyDescent="0.2">
      <c r="A26" s="10">
        <v>20833</v>
      </c>
      <c r="B26" s="11">
        <v>42616</v>
      </c>
      <c r="C26" s="12">
        <v>87.68</v>
      </c>
      <c r="D26" s="12">
        <v>6.68</v>
      </c>
      <c r="E26" s="15"/>
      <c r="F26" s="21"/>
      <c r="G26" s="22"/>
      <c r="H26" s="10"/>
      <c r="I26" s="10"/>
    </row>
    <row r="27" spans="1:9" x14ac:dyDescent="0.2">
      <c r="A27" s="10">
        <v>20834</v>
      </c>
      <c r="B27" s="11">
        <v>42616</v>
      </c>
      <c r="C27" s="12">
        <v>58.46</v>
      </c>
      <c r="D27" s="12">
        <v>4.46</v>
      </c>
      <c r="E27" s="15" t="s">
        <v>533</v>
      </c>
      <c r="F27" s="21"/>
      <c r="G27" s="22"/>
      <c r="H27" s="10"/>
      <c r="I27" s="10"/>
    </row>
    <row r="28" spans="1:9" x14ac:dyDescent="0.2">
      <c r="A28" s="10">
        <v>20835</v>
      </c>
      <c r="B28" s="11">
        <v>42616</v>
      </c>
      <c r="C28" s="12">
        <v>15.16</v>
      </c>
      <c r="D28" s="12">
        <v>1.1599999999999999</v>
      </c>
      <c r="E28" s="15" t="s">
        <v>7</v>
      </c>
      <c r="I28" s="10"/>
    </row>
    <row r="29" spans="1:9" x14ac:dyDescent="0.2">
      <c r="A29" s="10">
        <v>20836</v>
      </c>
      <c r="B29" s="11">
        <v>42616</v>
      </c>
      <c r="C29" s="12">
        <v>75</v>
      </c>
      <c r="D29" s="12"/>
      <c r="E29" s="15" t="s">
        <v>25</v>
      </c>
      <c r="F29" s="21"/>
      <c r="G29" s="22"/>
      <c r="H29" s="10"/>
      <c r="I29" s="10"/>
    </row>
    <row r="30" spans="1:9" x14ac:dyDescent="0.2">
      <c r="A30" s="10">
        <v>20837</v>
      </c>
      <c r="B30" s="11">
        <v>42616</v>
      </c>
      <c r="C30" s="12">
        <v>31.39</v>
      </c>
      <c r="D30" s="12">
        <v>2.39</v>
      </c>
      <c r="E30" s="15" t="s">
        <v>11</v>
      </c>
      <c r="F30" s="21"/>
      <c r="G30" s="22"/>
      <c r="H30" s="10"/>
      <c r="I30" s="10"/>
    </row>
    <row r="31" spans="1:9" x14ac:dyDescent="0.2">
      <c r="A31" s="10">
        <v>20838</v>
      </c>
      <c r="B31" s="11">
        <v>42616</v>
      </c>
      <c r="C31" s="12">
        <v>14.07</v>
      </c>
      <c r="D31" s="12">
        <v>1.07</v>
      </c>
      <c r="E31" s="17"/>
      <c r="I31" s="10"/>
    </row>
    <row r="32" spans="1:9" x14ac:dyDescent="0.2">
      <c r="A32" s="10">
        <v>20839</v>
      </c>
      <c r="B32" s="11">
        <v>42616</v>
      </c>
      <c r="C32" s="12">
        <v>10</v>
      </c>
      <c r="D32" s="12">
        <v>0.76</v>
      </c>
      <c r="E32" s="17"/>
      <c r="I32" s="10"/>
    </row>
    <row r="33" spans="1:9" x14ac:dyDescent="0.2">
      <c r="A33" s="10">
        <v>20840</v>
      </c>
      <c r="B33" s="11">
        <v>42616</v>
      </c>
      <c r="C33" s="12">
        <v>32</v>
      </c>
      <c r="D33" s="12"/>
      <c r="E33" s="15" t="s">
        <v>16</v>
      </c>
      <c r="I33" s="10"/>
    </row>
    <row r="34" spans="1:9" x14ac:dyDescent="0.2">
      <c r="A34" s="10">
        <v>20841</v>
      </c>
      <c r="B34" s="11">
        <v>42616</v>
      </c>
      <c r="C34" s="12">
        <v>16</v>
      </c>
      <c r="D34" s="12"/>
      <c r="E34" s="15" t="s">
        <v>563</v>
      </c>
      <c r="F34" s="134">
        <f>+C21+C23+C22+C25+C28+C30</f>
        <v>882.99</v>
      </c>
      <c r="G34" s="123">
        <f>+F34*0.97831</f>
        <v>863.83794690000002</v>
      </c>
      <c r="H34" s="161" t="s">
        <v>768</v>
      </c>
      <c r="I34" s="10"/>
    </row>
    <row r="35" spans="1:9" x14ac:dyDescent="0.2">
      <c r="A35" s="10">
        <v>20842</v>
      </c>
      <c r="B35" s="11">
        <v>42618</v>
      </c>
      <c r="C35" s="12">
        <v>12</v>
      </c>
      <c r="D35" s="12">
        <v>0.91</v>
      </c>
      <c r="E35" s="15" t="s">
        <v>11</v>
      </c>
      <c r="F35" s="21"/>
      <c r="G35" s="22"/>
      <c r="H35" s="10"/>
      <c r="I35" s="10"/>
    </row>
    <row r="36" spans="1:9" x14ac:dyDescent="0.2">
      <c r="A36" s="10">
        <v>20843</v>
      </c>
      <c r="B36" s="11">
        <v>42618</v>
      </c>
      <c r="C36" s="12">
        <v>479.55</v>
      </c>
      <c r="D36" s="12">
        <v>36.549999999999997</v>
      </c>
      <c r="E36" s="15" t="s">
        <v>11</v>
      </c>
      <c r="F36" s="21"/>
      <c r="G36" s="22"/>
      <c r="H36" s="10"/>
      <c r="I36" s="10"/>
    </row>
    <row r="37" spans="1:9" x14ac:dyDescent="0.2">
      <c r="A37" s="10">
        <v>20844</v>
      </c>
      <c r="B37" s="11">
        <v>42618</v>
      </c>
      <c r="C37" s="12">
        <v>16.239999999999998</v>
      </c>
      <c r="D37" s="12">
        <v>1.24</v>
      </c>
      <c r="E37" s="17"/>
      <c r="F37" s="18"/>
      <c r="G37" s="19"/>
      <c r="H37" s="12"/>
      <c r="I37" s="10"/>
    </row>
    <row r="38" spans="1:9" x14ac:dyDescent="0.2">
      <c r="A38" s="10">
        <v>20845</v>
      </c>
      <c r="B38" s="11">
        <v>42618</v>
      </c>
      <c r="C38" s="12">
        <v>64.95</v>
      </c>
      <c r="D38" s="12">
        <v>4.95</v>
      </c>
      <c r="E38" s="17"/>
      <c r="H38" s="12"/>
      <c r="I38" s="10"/>
    </row>
    <row r="39" spans="1:9" x14ac:dyDescent="0.2">
      <c r="A39" s="10">
        <v>20846</v>
      </c>
      <c r="B39" s="11">
        <v>42618</v>
      </c>
      <c r="C39" s="12">
        <v>5</v>
      </c>
      <c r="D39" s="12"/>
      <c r="E39" s="15" t="s">
        <v>11</v>
      </c>
      <c r="H39" s="10"/>
      <c r="I39" s="10"/>
    </row>
    <row r="40" spans="1:9" x14ac:dyDescent="0.2">
      <c r="A40" s="10">
        <v>20847</v>
      </c>
      <c r="B40" s="11">
        <v>42618</v>
      </c>
      <c r="C40" s="12">
        <v>7.58</v>
      </c>
      <c r="D40" s="12">
        <v>0.57999999999999996</v>
      </c>
      <c r="E40" s="15" t="s">
        <v>11</v>
      </c>
      <c r="H40" s="10"/>
      <c r="I40" s="10"/>
    </row>
    <row r="41" spans="1:9" x14ac:dyDescent="0.2">
      <c r="A41" s="10">
        <v>20848</v>
      </c>
      <c r="B41" s="11">
        <v>42618</v>
      </c>
      <c r="C41" s="12">
        <v>102.19</v>
      </c>
      <c r="D41" s="12"/>
      <c r="E41" s="15" t="s">
        <v>16</v>
      </c>
      <c r="F41" s="21"/>
      <c r="G41" s="22"/>
      <c r="H41" s="10"/>
      <c r="I41" s="10"/>
    </row>
    <row r="42" spans="1:9" x14ac:dyDescent="0.2">
      <c r="A42" s="10">
        <v>20849</v>
      </c>
      <c r="B42" s="11">
        <v>42618</v>
      </c>
      <c r="C42" s="12">
        <v>59</v>
      </c>
      <c r="D42" s="12"/>
      <c r="E42" s="13" t="s">
        <v>521</v>
      </c>
      <c r="F42" s="18"/>
      <c r="G42" s="19"/>
      <c r="H42" s="12"/>
      <c r="I42" s="10"/>
    </row>
    <row r="43" spans="1:9" x14ac:dyDescent="0.2">
      <c r="A43" s="10">
        <v>20850</v>
      </c>
      <c r="B43" s="11">
        <v>42618</v>
      </c>
      <c r="C43" s="12">
        <v>15.16</v>
      </c>
      <c r="D43" s="12">
        <v>1.1599999999999999</v>
      </c>
      <c r="E43" s="13"/>
      <c r="F43" s="18"/>
      <c r="G43" s="19"/>
      <c r="H43" s="12"/>
      <c r="I43" s="10"/>
    </row>
    <row r="44" spans="1:9" x14ac:dyDescent="0.2">
      <c r="A44" s="10">
        <v>20851</v>
      </c>
      <c r="B44" s="11">
        <v>42618</v>
      </c>
      <c r="C44" s="12">
        <v>104</v>
      </c>
      <c r="D44" s="12"/>
      <c r="E44" s="15" t="s">
        <v>60</v>
      </c>
      <c r="F44" s="134">
        <f>+C35+C36+C39+C40</f>
        <v>504.13</v>
      </c>
      <c r="G44" s="123">
        <f>+F44*0.97831</f>
        <v>493.19542030000002</v>
      </c>
      <c r="H44" s="10"/>
      <c r="I44" s="10"/>
    </row>
    <row r="45" spans="1:9" x14ac:dyDescent="0.2">
      <c r="A45" s="10">
        <v>20852</v>
      </c>
      <c r="B45" s="11">
        <v>42619</v>
      </c>
      <c r="C45" s="12">
        <v>20.57</v>
      </c>
      <c r="D45" s="12">
        <v>1.57</v>
      </c>
      <c r="E45" s="15" t="s">
        <v>11</v>
      </c>
      <c r="F45" s="21"/>
      <c r="G45" s="22"/>
      <c r="H45" s="10"/>
      <c r="I45" s="10"/>
    </row>
    <row r="46" spans="1:9" x14ac:dyDescent="0.2">
      <c r="A46" s="10">
        <v>20853</v>
      </c>
      <c r="B46" s="11">
        <v>42619</v>
      </c>
      <c r="C46" s="12">
        <v>74.69</v>
      </c>
      <c r="D46" s="12">
        <v>5.69</v>
      </c>
      <c r="E46" s="15"/>
      <c r="F46" s="21"/>
      <c r="G46" s="22"/>
      <c r="H46" s="10"/>
      <c r="I46" s="10"/>
    </row>
    <row r="47" spans="1:9" x14ac:dyDescent="0.2">
      <c r="A47" s="10">
        <v>20854</v>
      </c>
      <c r="B47" s="11">
        <v>42619</v>
      </c>
      <c r="C47" s="12">
        <v>54.11</v>
      </c>
      <c r="D47" s="12">
        <v>4.12</v>
      </c>
      <c r="E47" s="15" t="s">
        <v>11</v>
      </c>
      <c r="F47" s="21"/>
      <c r="G47" s="22"/>
      <c r="H47" s="10"/>
      <c r="I47" s="10"/>
    </row>
    <row r="48" spans="1:9" x14ac:dyDescent="0.2">
      <c r="A48" s="10">
        <v>20855</v>
      </c>
      <c r="B48" s="11">
        <v>42619</v>
      </c>
      <c r="C48" s="12">
        <v>11.91</v>
      </c>
      <c r="D48" s="12">
        <v>0.91</v>
      </c>
      <c r="E48" s="13"/>
      <c r="F48" s="18"/>
      <c r="G48" s="19"/>
      <c r="H48" s="12"/>
      <c r="I48" s="10"/>
    </row>
    <row r="49" spans="1:9" x14ac:dyDescent="0.2">
      <c r="A49" s="10">
        <v>20856</v>
      </c>
      <c r="B49" s="11">
        <v>42619</v>
      </c>
      <c r="C49" s="12">
        <v>14.07</v>
      </c>
      <c r="D49" s="12">
        <v>1.07</v>
      </c>
      <c r="E49" s="15" t="s">
        <v>11</v>
      </c>
      <c r="H49" s="10"/>
      <c r="I49" s="10"/>
    </row>
    <row r="50" spans="1:9" x14ac:dyDescent="0.2">
      <c r="A50" s="10">
        <v>20857</v>
      </c>
      <c r="B50" s="11">
        <v>42619</v>
      </c>
      <c r="C50" s="12">
        <v>25.08</v>
      </c>
      <c r="D50" s="12"/>
      <c r="E50" s="15" t="s">
        <v>16</v>
      </c>
      <c r="F50" s="21"/>
      <c r="G50" s="22"/>
      <c r="H50" s="10"/>
      <c r="I50" s="10"/>
    </row>
    <row r="51" spans="1:9" x14ac:dyDescent="0.2">
      <c r="A51" s="10">
        <v>20858</v>
      </c>
      <c r="B51" s="11">
        <v>42619</v>
      </c>
      <c r="C51" s="12">
        <v>123</v>
      </c>
      <c r="D51" s="12"/>
      <c r="E51" s="15" t="s">
        <v>16</v>
      </c>
      <c r="H51" s="10"/>
      <c r="I51" s="10"/>
    </row>
    <row r="52" spans="1:9" x14ac:dyDescent="0.2">
      <c r="A52" s="10">
        <v>20859</v>
      </c>
      <c r="B52" s="11">
        <v>42619</v>
      </c>
      <c r="C52" s="12">
        <v>21.65</v>
      </c>
      <c r="D52" s="12">
        <v>1.65</v>
      </c>
      <c r="E52" s="15" t="s">
        <v>11</v>
      </c>
      <c r="F52" s="21"/>
      <c r="G52" s="22"/>
      <c r="H52" s="10"/>
      <c r="I52" s="10"/>
    </row>
    <row r="53" spans="1:9" x14ac:dyDescent="0.2">
      <c r="A53" s="10">
        <v>20860</v>
      </c>
      <c r="B53" s="11">
        <v>42619</v>
      </c>
      <c r="C53" s="12">
        <v>59.54</v>
      </c>
      <c r="D53" s="12">
        <v>4.54</v>
      </c>
      <c r="E53" s="15" t="s">
        <v>7</v>
      </c>
      <c r="F53" s="134" t="e">
        <f>+C45+C47+C49+C53+126.24+#REF!</f>
        <v>#REF!</v>
      </c>
      <c r="G53" s="123" t="e">
        <f>+F53*0.97831</f>
        <v>#REF!</v>
      </c>
      <c r="H53" s="10"/>
      <c r="I53" s="10"/>
    </row>
    <row r="54" spans="1:9" x14ac:dyDescent="0.2">
      <c r="A54" s="10">
        <v>20861</v>
      </c>
      <c r="B54" s="11">
        <v>42620</v>
      </c>
      <c r="C54" s="12">
        <v>107.11</v>
      </c>
      <c r="D54" s="12">
        <v>8.16</v>
      </c>
      <c r="E54" s="15" t="s">
        <v>11</v>
      </c>
      <c r="F54" s="21"/>
      <c r="G54" s="22"/>
      <c r="H54" s="10"/>
      <c r="I54" s="10"/>
    </row>
    <row r="55" spans="1:9" x14ac:dyDescent="0.2">
      <c r="A55" s="10">
        <v>20862</v>
      </c>
      <c r="B55" s="11">
        <v>42620</v>
      </c>
      <c r="C55" s="12">
        <v>64.95</v>
      </c>
      <c r="D55" s="12">
        <v>4.95</v>
      </c>
      <c r="E55" s="15" t="s">
        <v>11</v>
      </c>
      <c r="F55" s="21"/>
      <c r="G55" s="22"/>
      <c r="H55" s="10"/>
      <c r="I55" s="10"/>
    </row>
    <row r="56" spans="1:9" x14ac:dyDescent="0.2">
      <c r="A56" s="10">
        <v>20863</v>
      </c>
      <c r="B56" s="11">
        <v>42620</v>
      </c>
      <c r="C56" s="12">
        <v>70.36</v>
      </c>
      <c r="D56" s="12">
        <v>5.36</v>
      </c>
      <c r="E56" s="15" t="s">
        <v>11</v>
      </c>
      <c r="H56" s="10"/>
      <c r="I56" s="10"/>
    </row>
    <row r="57" spans="1:9" x14ac:dyDescent="0.2">
      <c r="A57" s="10">
        <v>20864</v>
      </c>
      <c r="B57" s="11">
        <v>42620</v>
      </c>
      <c r="C57" s="12">
        <v>-36.26</v>
      </c>
      <c r="D57" s="12">
        <v>-2.76</v>
      </c>
      <c r="E57" s="15" t="s">
        <v>21</v>
      </c>
      <c r="H57" s="10"/>
      <c r="I57" s="10"/>
    </row>
    <row r="58" spans="1:9" x14ac:dyDescent="0.2">
      <c r="A58" s="10">
        <v>20865</v>
      </c>
      <c r="B58" s="11">
        <v>42620</v>
      </c>
      <c r="C58" s="12">
        <v>16.18</v>
      </c>
      <c r="D58" s="12">
        <v>1.23</v>
      </c>
      <c r="E58" s="15" t="s">
        <v>11</v>
      </c>
      <c r="F58" s="21"/>
      <c r="G58" s="22"/>
      <c r="H58" s="10"/>
      <c r="I58" s="10"/>
    </row>
    <row r="59" spans="1:9" x14ac:dyDescent="0.2">
      <c r="A59" s="10">
        <v>20866</v>
      </c>
      <c r="B59" s="11">
        <v>42620</v>
      </c>
      <c r="C59" s="12">
        <v>229.49</v>
      </c>
      <c r="D59" s="12">
        <v>17.489999999999998</v>
      </c>
      <c r="E59" s="15" t="s">
        <v>21</v>
      </c>
      <c r="F59" s="21"/>
      <c r="G59" s="22"/>
      <c r="H59" s="10"/>
      <c r="I59" s="10"/>
    </row>
    <row r="60" spans="1:9" x14ac:dyDescent="0.2">
      <c r="A60" s="10">
        <v>20867</v>
      </c>
      <c r="B60" s="11">
        <v>42620</v>
      </c>
      <c r="C60" s="12">
        <v>194.69</v>
      </c>
      <c r="D60" s="12">
        <v>14.84</v>
      </c>
      <c r="E60" s="15" t="s">
        <v>7</v>
      </c>
      <c r="F60" s="134">
        <f>+C54+C55+C56+C58+C60</f>
        <v>453.29</v>
      </c>
      <c r="G60" s="123">
        <f>+F60*0.97831</f>
        <v>443.45813990000005</v>
      </c>
      <c r="H60" s="10"/>
      <c r="I60" s="10"/>
    </row>
    <row r="61" spans="1:9" x14ac:dyDescent="0.2">
      <c r="A61" s="10">
        <v>20868</v>
      </c>
      <c r="B61" s="11">
        <v>42621</v>
      </c>
      <c r="C61" s="12">
        <v>63.87</v>
      </c>
      <c r="D61" s="12">
        <v>4.87</v>
      </c>
      <c r="E61" s="15" t="s">
        <v>11</v>
      </c>
      <c r="F61" s="21"/>
      <c r="G61" s="22"/>
      <c r="H61" s="10"/>
      <c r="I61" s="10"/>
    </row>
    <row r="62" spans="1:9" x14ac:dyDescent="0.2">
      <c r="A62" s="10">
        <v>20869</v>
      </c>
      <c r="B62" s="11">
        <v>42621</v>
      </c>
      <c r="C62" s="12">
        <v>21.599999999999998</v>
      </c>
      <c r="D62" s="12">
        <v>1.65</v>
      </c>
      <c r="E62" s="13"/>
      <c r="F62" s="18"/>
      <c r="G62" s="19"/>
      <c r="H62" s="12"/>
      <c r="I62" s="10"/>
    </row>
    <row r="63" spans="1:9" x14ac:dyDescent="0.2">
      <c r="A63" s="10">
        <v>20870</v>
      </c>
      <c r="B63" s="11">
        <v>42621</v>
      </c>
      <c r="C63" s="12">
        <v>327.02000000000004</v>
      </c>
      <c r="D63" s="12">
        <v>24.92</v>
      </c>
      <c r="E63" s="15" t="s">
        <v>769</v>
      </c>
      <c r="H63" s="10"/>
      <c r="I63" s="10"/>
    </row>
    <row r="64" spans="1:9" x14ac:dyDescent="0.2">
      <c r="A64" s="10">
        <v>20871</v>
      </c>
      <c r="B64" s="11">
        <v>42621</v>
      </c>
      <c r="C64" s="12">
        <v>16.98</v>
      </c>
      <c r="D64" s="12"/>
      <c r="E64" s="15" t="s">
        <v>16</v>
      </c>
      <c r="F64" s="21"/>
      <c r="G64" s="22"/>
      <c r="H64" s="10"/>
      <c r="I64" s="10"/>
    </row>
    <row r="65" spans="1:9" x14ac:dyDescent="0.2">
      <c r="A65" s="10">
        <v>20872</v>
      </c>
      <c r="B65" s="11">
        <v>42621</v>
      </c>
      <c r="C65" s="12">
        <v>59.21</v>
      </c>
      <c r="D65" s="12">
        <v>4.51</v>
      </c>
      <c r="E65" s="15" t="s">
        <v>11</v>
      </c>
      <c r="F65" s="21"/>
      <c r="G65" s="22"/>
      <c r="H65" s="10"/>
      <c r="I65" s="10"/>
    </row>
    <row r="66" spans="1:9" x14ac:dyDescent="0.2">
      <c r="A66" s="10">
        <v>20873</v>
      </c>
      <c r="B66" s="11">
        <v>42621</v>
      </c>
      <c r="C66" s="12">
        <v>42.22</v>
      </c>
      <c r="D66" s="12">
        <v>3.22</v>
      </c>
      <c r="E66" s="15" t="s">
        <v>11</v>
      </c>
      <c r="F66" s="21"/>
      <c r="G66" s="22"/>
      <c r="H66" s="10"/>
      <c r="I66" s="10"/>
    </row>
    <row r="67" spans="1:9" x14ac:dyDescent="0.2">
      <c r="A67" s="10">
        <v>20874</v>
      </c>
      <c r="B67" s="11">
        <v>42621</v>
      </c>
      <c r="C67" s="12">
        <v>163.46</v>
      </c>
      <c r="D67" s="12">
        <v>12.46</v>
      </c>
      <c r="E67" s="15" t="s">
        <v>11</v>
      </c>
      <c r="F67" s="21"/>
      <c r="G67" s="22"/>
      <c r="H67" s="10"/>
      <c r="I67" s="10"/>
    </row>
    <row r="68" spans="1:9" x14ac:dyDescent="0.2">
      <c r="A68" s="10">
        <v>20875</v>
      </c>
      <c r="B68" s="11">
        <v>42621</v>
      </c>
      <c r="C68" s="12">
        <v>6</v>
      </c>
      <c r="D68" s="12">
        <v>0.46</v>
      </c>
      <c r="E68" s="15" t="s">
        <v>11</v>
      </c>
      <c r="F68" s="20">
        <f>+C61+100+C65+10+C67+C68</f>
        <v>402.54</v>
      </c>
      <c r="G68" s="20">
        <v>397.55</v>
      </c>
      <c r="H68" s="10"/>
      <c r="I68" s="10"/>
    </row>
    <row r="69" spans="1:9" x14ac:dyDescent="0.2">
      <c r="A69" s="10">
        <v>20876</v>
      </c>
      <c r="B69" s="11">
        <v>42622</v>
      </c>
      <c r="C69" s="12">
        <v>255.47</v>
      </c>
      <c r="D69" s="12">
        <v>19.47</v>
      </c>
      <c r="E69" s="15" t="s">
        <v>7</v>
      </c>
      <c r="H69" s="10"/>
      <c r="I69" s="10"/>
    </row>
    <row r="70" spans="1:9" x14ac:dyDescent="0.2">
      <c r="A70" s="10">
        <v>20877</v>
      </c>
      <c r="B70" s="11">
        <v>42622</v>
      </c>
      <c r="C70" s="12">
        <v>60</v>
      </c>
      <c r="D70" s="12">
        <v>4.57</v>
      </c>
      <c r="E70" s="17"/>
      <c r="H70" s="12"/>
      <c r="I70" s="10"/>
    </row>
    <row r="71" spans="1:9" x14ac:dyDescent="0.2">
      <c r="A71" s="10">
        <v>20878</v>
      </c>
      <c r="B71" s="11">
        <v>42622</v>
      </c>
      <c r="C71" s="12">
        <v>5</v>
      </c>
      <c r="D71" s="12">
        <v>0.38</v>
      </c>
      <c r="E71" s="17"/>
      <c r="H71" s="12"/>
      <c r="I71" s="10"/>
    </row>
    <row r="72" spans="1:9" x14ac:dyDescent="0.2">
      <c r="A72" s="10">
        <v>20879</v>
      </c>
      <c r="B72" s="11">
        <v>42622</v>
      </c>
      <c r="C72" s="12">
        <v>37.89</v>
      </c>
      <c r="D72" s="12">
        <v>2.89</v>
      </c>
      <c r="E72" s="17"/>
      <c r="F72" s="18"/>
      <c r="G72" s="19"/>
      <c r="H72" s="12"/>
      <c r="I72" s="10"/>
    </row>
    <row r="73" spans="1:9" x14ac:dyDescent="0.2">
      <c r="A73" s="10">
        <v>20880</v>
      </c>
      <c r="B73" s="11">
        <v>42622</v>
      </c>
      <c r="C73" s="12">
        <v>17</v>
      </c>
      <c r="D73" s="12">
        <v>1.3</v>
      </c>
      <c r="E73" s="17"/>
      <c r="F73" s="18"/>
      <c r="G73" s="19"/>
      <c r="H73" s="12"/>
      <c r="I73" s="10"/>
    </row>
    <row r="74" spans="1:9" x14ac:dyDescent="0.2">
      <c r="A74" s="10">
        <v>20881</v>
      </c>
      <c r="B74" s="11">
        <v>42622</v>
      </c>
      <c r="C74" s="12">
        <v>71.989999999999995</v>
      </c>
      <c r="D74" s="12">
        <v>5.49</v>
      </c>
      <c r="E74" s="15" t="s">
        <v>770</v>
      </c>
      <c r="F74" s="21"/>
      <c r="G74" s="22"/>
      <c r="H74" s="10"/>
      <c r="I74" s="10"/>
    </row>
    <row r="75" spans="1:9" x14ac:dyDescent="0.2">
      <c r="A75" s="10">
        <v>20882</v>
      </c>
      <c r="B75" s="11">
        <v>42622</v>
      </c>
      <c r="C75" s="12">
        <v>14.07</v>
      </c>
      <c r="D75" s="12">
        <v>1.07</v>
      </c>
      <c r="E75" s="13"/>
      <c r="F75" s="18"/>
      <c r="G75" s="19"/>
      <c r="H75" s="12"/>
      <c r="I75" s="10"/>
    </row>
    <row r="76" spans="1:9" x14ac:dyDescent="0.2">
      <c r="A76" s="10">
        <v>20883</v>
      </c>
      <c r="B76" s="11">
        <v>42622</v>
      </c>
      <c r="C76" s="12">
        <v>102.39999999999999</v>
      </c>
      <c r="D76" s="12">
        <v>7.8</v>
      </c>
      <c r="E76" s="15"/>
      <c r="F76" s="21"/>
      <c r="G76" s="22"/>
      <c r="H76" s="10"/>
      <c r="I76" s="10"/>
    </row>
    <row r="77" spans="1:9" x14ac:dyDescent="0.2">
      <c r="A77" s="10">
        <v>20884</v>
      </c>
      <c r="B77" s="11">
        <v>42622</v>
      </c>
      <c r="C77" s="12">
        <v>19</v>
      </c>
      <c r="D77" s="12">
        <v>1.45</v>
      </c>
      <c r="E77" s="17"/>
      <c r="F77" s="18"/>
      <c r="G77" s="19"/>
      <c r="H77" s="12"/>
      <c r="I77" s="10"/>
    </row>
    <row r="78" spans="1:9" x14ac:dyDescent="0.2">
      <c r="A78" s="10">
        <v>20885</v>
      </c>
      <c r="B78" s="11">
        <v>42622</v>
      </c>
      <c r="C78" s="12">
        <v>-14.07</v>
      </c>
      <c r="D78" s="12">
        <v>-1.07</v>
      </c>
      <c r="E78" s="17"/>
      <c r="F78" s="18"/>
      <c r="G78" s="19"/>
      <c r="H78" s="12"/>
      <c r="I78" s="10"/>
    </row>
    <row r="79" spans="1:9" x14ac:dyDescent="0.2">
      <c r="A79" s="10">
        <v>20886</v>
      </c>
      <c r="B79" s="11">
        <v>42622</v>
      </c>
      <c r="C79" s="12">
        <v>25.5</v>
      </c>
      <c r="D79" s="12"/>
      <c r="E79" s="13" t="s">
        <v>19</v>
      </c>
      <c r="F79" s="18"/>
      <c r="G79" s="19"/>
      <c r="H79" s="12"/>
      <c r="I79" s="10"/>
    </row>
    <row r="80" spans="1:9" x14ac:dyDescent="0.2">
      <c r="A80" s="10">
        <v>20887</v>
      </c>
      <c r="B80" s="11">
        <v>42622</v>
      </c>
      <c r="C80" s="12">
        <v>0</v>
      </c>
      <c r="D80" s="12">
        <v>0</v>
      </c>
      <c r="E80" s="17"/>
      <c r="H80" s="12"/>
      <c r="I80" s="10"/>
    </row>
    <row r="81" spans="1:12" x14ac:dyDescent="0.2">
      <c r="A81" s="10">
        <v>20888</v>
      </c>
      <c r="B81" s="11">
        <v>42622</v>
      </c>
      <c r="C81" s="12">
        <v>201</v>
      </c>
      <c r="D81" s="12">
        <v>15.32</v>
      </c>
      <c r="E81" s="17"/>
      <c r="F81" s="18"/>
      <c r="G81" s="19"/>
      <c r="H81" s="12"/>
      <c r="I81" s="10"/>
    </row>
    <row r="82" spans="1:12" x14ac:dyDescent="0.2">
      <c r="A82" s="10">
        <v>20889</v>
      </c>
      <c r="B82" s="11">
        <v>42622</v>
      </c>
      <c r="C82" s="12">
        <v>14.07</v>
      </c>
      <c r="D82" s="12">
        <v>1.07</v>
      </c>
      <c r="E82" s="15" t="s">
        <v>11</v>
      </c>
      <c r="F82" s="20">
        <f>+C69+35.73</f>
        <v>291.2</v>
      </c>
      <c r="G82" s="20">
        <f>250.54+31</f>
        <v>281.53999999999996</v>
      </c>
      <c r="H82" s="114"/>
      <c r="I82" s="10"/>
    </row>
    <row r="83" spans="1:12" x14ac:dyDescent="0.2">
      <c r="A83" s="10">
        <v>20890</v>
      </c>
      <c r="B83" s="11">
        <v>42623</v>
      </c>
      <c r="C83" s="12">
        <v>86.52000000000001</v>
      </c>
      <c r="D83" s="12">
        <v>6.59</v>
      </c>
      <c r="E83" s="15" t="s">
        <v>533</v>
      </c>
      <c r="F83" s="21"/>
      <c r="G83" s="22"/>
      <c r="H83" s="10"/>
      <c r="I83" s="10"/>
    </row>
    <row r="84" spans="1:12" x14ac:dyDescent="0.2">
      <c r="A84" s="10">
        <v>20891</v>
      </c>
      <c r="B84" s="11">
        <v>42623</v>
      </c>
      <c r="C84" s="12">
        <v>24.9</v>
      </c>
      <c r="D84" s="12">
        <v>1.9</v>
      </c>
      <c r="E84" s="13"/>
      <c r="F84" s="18"/>
      <c r="G84" s="19"/>
      <c r="H84" s="12"/>
      <c r="I84" s="10"/>
    </row>
    <row r="85" spans="1:12" x14ac:dyDescent="0.2">
      <c r="A85" s="10">
        <v>20892</v>
      </c>
      <c r="B85" s="11">
        <v>42623</v>
      </c>
      <c r="C85" s="12">
        <v>150.47</v>
      </c>
      <c r="D85" s="12">
        <v>11.47</v>
      </c>
      <c r="E85" s="15" t="s">
        <v>7</v>
      </c>
      <c r="F85" s="21"/>
      <c r="G85" s="22"/>
      <c r="H85" s="10"/>
      <c r="I85" s="10"/>
    </row>
    <row r="86" spans="1:12" x14ac:dyDescent="0.2">
      <c r="A86" s="10">
        <v>20893</v>
      </c>
      <c r="B86" s="11">
        <v>42623</v>
      </c>
      <c r="C86" s="12">
        <v>114.75</v>
      </c>
      <c r="D86" s="12">
        <v>8.75</v>
      </c>
      <c r="E86" s="15" t="s">
        <v>11</v>
      </c>
      <c r="F86" s="21"/>
      <c r="G86" s="22"/>
      <c r="H86" s="10"/>
      <c r="I86" s="10"/>
    </row>
    <row r="87" spans="1:12" x14ac:dyDescent="0.2">
      <c r="A87" s="10">
        <v>20894</v>
      </c>
      <c r="B87" s="11">
        <v>42623</v>
      </c>
      <c r="C87" s="12">
        <v>93.04</v>
      </c>
      <c r="D87" s="12">
        <v>7.09</v>
      </c>
      <c r="E87" s="15" t="s">
        <v>771</v>
      </c>
      <c r="I87" s="10"/>
    </row>
    <row r="88" spans="1:12" x14ac:dyDescent="0.2">
      <c r="A88" s="10">
        <v>20895</v>
      </c>
      <c r="B88" s="11">
        <v>42623</v>
      </c>
      <c r="C88" s="12">
        <v>10</v>
      </c>
      <c r="D88" s="12">
        <v>0.76</v>
      </c>
      <c r="E88" s="12"/>
      <c r="F88" s="12"/>
      <c r="G88" s="12"/>
      <c r="H88" s="208"/>
      <c r="I88" s="217"/>
      <c r="J88" s="217"/>
      <c r="K88" s="217"/>
      <c r="L88" s="184"/>
    </row>
    <row r="89" spans="1:12" x14ac:dyDescent="0.2">
      <c r="A89" s="10">
        <v>20896</v>
      </c>
      <c r="B89" s="11">
        <v>42623</v>
      </c>
      <c r="C89" s="12">
        <v>5.41</v>
      </c>
      <c r="D89" s="12">
        <v>0.41</v>
      </c>
      <c r="E89" s="12"/>
      <c r="I89" s="217"/>
      <c r="J89" s="217"/>
      <c r="K89" s="217"/>
      <c r="L89" s="184"/>
    </row>
    <row r="90" spans="1:12" x14ac:dyDescent="0.2">
      <c r="A90" s="10">
        <v>20897</v>
      </c>
      <c r="B90" s="11">
        <v>42623</v>
      </c>
      <c r="C90" s="12">
        <v>170.98</v>
      </c>
      <c r="D90" s="12">
        <v>14.48</v>
      </c>
      <c r="E90" s="15" t="s">
        <v>11</v>
      </c>
      <c r="I90" s="212"/>
      <c r="J90" s="217"/>
      <c r="K90" s="217"/>
      <c r="L90" s="184"/>
    </row>
    <row r="91" spans="1:12" x14ac:dyDescent="0.2">
      <c r="A91" s="10">
        <v>20898</v>
      </c>
      <c r="B91" s="11">
        <v>42623</v>
      </c>
      <c r="C91" s="12">
        <v>90</v>
      </c>
      <c r="D91" s="12">
        <v>6.86</v>
      </c>
      <c r="E91" s="13"/>
      <c r="F91" s="18"/>
      <c r="G91" s="19"/>
      <c r="H91" s="12"/>
      <c r="I91" s="212"/>
      <c r="J91" s="217"/>
      <c r="K91" s="217"/>
      <c r="L91" s="184"/>
    </row>
    <row r="92" spans="1:12" x14ac:dyDescent="0.2">
      <c r="A92" s="10">
        <v>20899</v>
      </c>
      <c r="B92" s="11">
        <v>42623</v>
      </c>
      <c r="C92" s="222">
        <v>92.01</v>
      </c>
      <c r="D92" s="12">
        <v>7.01</v>
      </c>
      <c r="E92" s="15" t="s">
        <v>7</v>
      </c>
      <c r="F92" s="21"/>
      <c r="G92" s="22"/>
      <c r="H92" s="10"/>
      <c r="I92" s="212"/>
      <c r="J92" s="217"/>
      <c r="K92" s="217"/>
      <c r="L92" s="184"/>
    </row>
    <row r="93" spans="1:12" x14ac:dyDescent="0.2">
      <c r="A93" s="10">
        <v>20900</v>
      </c>
      <c r="B93" s="11">
        <v>42623</v>
      </c>
      <c r="C93" s="12">
        <v>220.00000000000003</v>
      </c>
      <c r="D93" s="12">
        <v>16.77</v>
      </c>
      <c r="E93" s="13"/>
      <c r="F93" s="18"/>
      <c r="G93" s="19"/>
      <c r="H93" s="12"/>
      <c r="I93" s="212"/>
      <c r="J93" s="217"/>
      <c r="K93" s="217"/>
      <c r="L93" s="184"/>
    </row>
    <row r="94" spans="1:12" x14ac:dyDescent="0.2">
      <c r="A94" s="10">
        <v>20901</v>
      </c>
      <c r="B94" s="11">
        <v>42623</v>
      </c>
      <c r="C94" s="12">
        <v>168.72</v>
      </c>
      <c r="D94" s="12"/>
      <c r="E94" s="15" t="s">
        <v>16</v>
      </c>
      <c r="F94" s="21"/>
      <c r="G94" s="22"/>
      <c r="H94" s="10"/>
      <c r="I94" s="212"/>
      <c r="J94" s="217"/>
      <c r="K94" s="217"/>
      <c r="L94" s="184"/>
    </row>
    <row r="95" spans="1:12" x14ac:dyDescent="0.2">
      <c r="A95" s="10">
        <v>20902</v>
      </c>
      <c r="B95" s="11">
        <v>42623</v>
      </c>
      <c r="C95" s="12">
        <v>37.89</v>
      </c>
      <c r="D95" s="12">
        <v>2.89</v>
      </c>
      <c r="E95" s="15" t="s">
        <v>533</v>
      </c>
      <c r="F95" s="21"/>
      <c r="G95" s="22"/>
      <c r="H95" s="10"/>
      <c r="I95" s="212"/>
      <c r="J95" s="217"/>
      <c r="K95" s="217"/>
      <c r="L95" s="184"/>
    </row>
    <row r="96" spans="1:12" x14ac:dyDescent="0.2">
      <c r="A96" s="10">
        <v>20903</v>
      </c>
      <c r="B96" s="11">
        <v>42623</v>
      </c>
      <c r="C96" s="12">
        <v>135.31</v>
      </c>
      <c r="D96" s="12">
        <v>10.31</v>
      </c>
      <c r="E96" s="12"/>
      <c r="I96" s="212"/>
      <c r="J96" s="217"/>
      <c r="K96" s="217"/>
      <c r="L96" s="184"/>
    </row>
    <row r="97" spans="1:12" x14ac:dyDescent="0.2">
      <c r="A97" s="10">
        <v>20904</v>
      </c>
      <c r="B97" s="11">
        <v>42623</v>
      </c>
      <c r="C97" s="12">
        <v>450</v>
      </c>
      <c r="D97" s="12">
        <v>34.299999999999997</v>
      </c>
      <c r="E97" s="13" t="s">
        <v>772</v>
      </c>
      <c r="F97" s="18"/>
      <c r="G97" s="19"/>
      <c r="H97" s="12"/>
      <c r="I97" s="212"/>
      <c r="J97" s="217"/>
      <c r="K97" s="217"/>
      <c r="L97" s="184"/>
    </row>
    <row r="98" spans="1:12" x14ac:dyDescent="0.2">
      <c r="A98" s="10">
        <v>20905</v>
      </c>
      <c r="B98" s="11">
        <v>42623</v>
      </c>
      <c r="C98" s="12">
        <v>45</v>
      </c>
      <c r="D98" s="12"/>
      <c r="E98" s="15" t="s">
        <v>21</v>
      </c>
      <c r="F98" s="20">
        <f>+C85+C86+C92+250+C82+217.45</f>
        <v>838.75</v>
      </c>
      <c r="G98" s="20">
        <f>616.23+188.64</f>
        <v>804.87</v>
      </c>
      <c r="H98" s="114"/>
      <c r="I98" s="212"/>
      <c r="J98" s="217"/>
      <c r="K98" s="217"/>
      <c r="L98" s="184"/>
    </row>
    <row r="99" spans="1:12" x14ac:dyDescent="0.2">
      <c r="A99" s="10">
        <v>20906</v>
      </c>
      <c r="B99" s="11">
        <v>42624</v>
      </c>
      <c r="C99" s="12">
        <v>45</v>
      </c>
      <c r="D99" s="12">
        <v>3.43</v>
      </c>
      <c r="E99" s="17"/>
      <c r="F99" s="20">
        <v>0</v>
      </c>
      <c r="G99" s="20">
        <f>+F99*0.97831</f>
        <v>0</v>
      </c>
      <c r="H99" s="12"/>
      <c r="I99" s="212"/>
      <c r="J99" s="217"/>
      <c r="K99" s="217"/>
      <c r="L99" s="184"/>
    </row>
    <row r="100" spans="1:12" x14ac:dyDescent="0.2">
      <c r="A100" s="10">
        <v>20907</v>
      </c>
      <c r="B100" s="11">
        <v>42625</v>
      </c>
      <c r="C100" s="12">
        <v>34.64</v>
      </c>
      <c r="D100" s="12">
        <v>2.64</v>
      </c>
      <c r="E100" s="15" t="s">
        <v>11</v>
      </c>
      <c r="F100" s="115"/>
      <c r="G100" s="115"/>
      <c r="H100" s="10"/>
      <c r="I100" s="212"/>
      <c r="J100" s="217"/>
      <c r="K100" s="217"/>
      <c r="L100" s="184"/>
    </row>
    <row r="101" spans="1:12" x14ac:dyDescent="0.2">
      <c r="A101" s="10">
        <v>20908</v>
      </c>
      <c r="B101" s="11">
        <v>42625</v>
      </c>
      <c r="C101" s="12">
        <v>16.18</v>
      </c>
      <c r="D101" s="12">
        <v>1.23</v>
      </c>
      <c r="E101" s="17"/>
      <c r="F101" s="18"/>
      <c r="G101" s="19"/>
      <c r="H101" s="12"/>
      <c r="I101" s="212"/>
      <c r="J101" s="217"/>
      <c r="K101" s="217"/>
      <c r="L101" s="184"/>
    </row>
    <row r="102" spans="1:12" x14ac:dyDescent="0.2">
      <c r="A102" s="10">
        <v>20909</v>
      </c>
      <c r="B102" s="11">
        <v>42625</v>
      </c>
      <c r="C102" s="12">
        <v>3.5</v>
      </c>
      <c r="D102" s="12">
        <v>0.27</v>
      </c>
      <c r="E102" s="17"/>
      <c r="F102" s="18"/>
      <c r="G102" s="19"/>
      <c r="H102" s="12"/>
      <c r="I102" s="212"/>
      <c r="J102" s="217"/>
      <c r="K102" s="217"/>
      <c r="L102" s="184"/>
    </row>
    <row r="103" spans="1:12" x14ac:dyDescent="0.2">
      <c r="A103" s="10">
        <v>20910</v>
      </c>
      <c r="B103" s="11">
        <v>42625</v>
      </c>
      <c r="C103" s="12">
        <v>5</v>
      </c>
      <c r="D103" s="12">
        <v>0.38</v>
      </c>
      <c r="E103" s="17"/>
      <c r="F103" s="18"/>
      <c r="G103" s="19"/>
      <c r="H103" s="12"/>
      <c r="I103" s="212"/>
      <c r="J103" s="217"/>
      <c r="K103" s="217"/>
      <c r="L103" s="184"/>
    </row>
    <row r="104" spans="1:12" x14ac:dyDescent="0.2">
      <c r="A104" s="10">
        <v>20911</v>
      </c>
      <c r="B104" s="11">
        <v>42625</v>
      </c>
      <c r="C104" s="12">
        <v>23.82</v>
      </c>
      <c r="D104" s="12">
        <v>1.82</v>
      </c>
      <c r="E104" s="15" t="s">
        <v>773</v>
      </c>
      <c r="F104" s="21"/>
      <c r="G104" s="22"/>
      <c r="H104" s="10"/>
      <c r="I104" s="212"/>
      <c r="J104" s="217"/>
      <c r="K104" s="217"/>
      <c r="L104" s="184"/>
    </row>
    <row r="105" spans="1:12" x14ac:dyDescent="0.2">
      <c r="A105" s="10">
        <v>20912</v>
      </c>
      <c r="B105" s="11">
        <v>42625</v>
      </c>
      <c r="C105" s="12">
        <v>9.69</v>
      </c>
      <c r="D105" s="12">
        <v>0.74</v>
      </c>
      <c r="E105" s="15" t="s">
        <v>7</v>
      </c>
      <c r="H105" s="10"/>
      <c r="I105" s="212"/>
      <c r="J105" s="217"/>
      <c r="K105" s="217"/>
      <c r="L105" s="184"/>
    </row>
    <row r="106" spans="1:12" x14ac:dyDescent="0.2">
      <c r="A106" s="10">
        <v>20913</v>
      </c>
      <c r="B106" s="11">
        <v>42625</v>
      </c>
      <c r="C106" s="12">
        <v>105</v>
      </c>
      <c r="D106" s="12">
        <v>8</v>
      </c>
      <c r="E106" s="15"/>
      <c r="F106" s="21"/>
      <c r="G106" s="22"/>
      <c r="H106" s="10"/>
      <c r="I106" s="212"/>
      <c r="J106" s="217"/>
      <c r="K106" s="217"/>
      <c r="L106" s="184"/>
    </row>
    <row r="107" spans="1:12" x14ac:dyDescent="0.2">
      <c r="A107" s="10">
        <v>20914</v>
      </c>
      <c r="B107" s="11">
        <v>42625</v>
      </c>
      <c r="C107" s="12">
        <v>57.32</v>
      </c>
      <c r="D107" s="12">
        <v>4.37</v>
      </c>
      <c r="E107" s="15" t="s">
        <v>7</v>
      </c>
      <c r="H107" s="10"/>
      <c r="I107" s="212"/>
      <c r="J107" s="217"/>
      <c r="K107" s="217"/>
      <c r="L107" s="184"/>
    </row>
    <row r="108" spans="1:12" x14ac:dyDescent="0.2">
      <c r="A108" s="10">
        <v>20915</v>
      </c>
      <c r="B108" s="11">
        <v>42625</v>
      </c>
      <c r="C108" s="12">
        <v>120</v>
      </c>
      <c r="D108" s="12">
        <v>9.15</v>
      </c>
      <c r="E108" s="15"/>
      <c r="H108" s="10"/>
      <c r="I108" s="212"/>
      <c r="J108" s="217"/>
      <c r="K108" s="217"/>
      <c r="L108" s="184"/>
    </row>
    <row r="109" spans="1:12" x14ac:dyDescent="0.2">
      <c r="A109" s="10">
        <v>20916</v>
      </c>
      <c r="B109" s="11">
        <v>42625</v>
      </c>
      <c r="C109" s="12">
        <v>568.95000000000005</v>
      </c>
      <c r="D109" s="12"/>
      <c r="E109" s="15" t="s">
        <v>60</v>
      </c>
      <c r="H109" s="10"/>
      <c r="I109" s="212"/>
      <c r="J109" s="217"/>
      <c r="K109" s="217"/>
      <c r="L109" s="184"/>
    </row>
    <row r="110" spans="1:12" x14ac:dyDescent="0.2">
      <c r="A110" s="10">
        <v>20917</v>
      </c>
      <c r="B110" s="11">
        <v>42625</v>
      </c>
      <c r="C110" s="12">
        <v>11</v>
      </c>
      <c r="D110" s="12">
        <v>0.84</v>
      </c>
      <c r="E110" s="17"/>
      <c r="F110" s="18"/>
      <c r="G110" s="19"/>
      <c r="H110" s="12"/>
      <c r="I110" s="212"/>
      <c r="J110" s="217"/>
      <c r="K110" s="217"/>
      <c r="L110" s="184"/>
    </row>
    <row r="111" spans="1:12" x14ac:dyDescent="0.2">
      <c r="A111" s="10">
        <v>20918</v>
      </c>
      <c r="B111" s="11">
        <v>42625</v>
      </c>
      <c r="C111" s="12">
        <v>34</v>
      </c>
      <c r="D111" s="12"/>
      <c r="E111" s="15" t="s">
        <v>7</v>
      </c>
      <c r="F111" s="21"/>
      <c r="G111" s="22"/>
      <c r="H111" s="10"/>
      <c r="I111" s="212"/>
      <c r="J111" s="217"/>
      <c r="K111" s="217"/>
      <c r="L111" s="184"/>
    </row>
    <row r="112" spans="1:12" x14ac:dyDescent="0.2">
      <c r="A112" s="10">
        <v>20919</v>
      </c>
      <c r="B112" s="11">
        <v>42625</v>
      </c>
      <c r="C112" s="12">
        <v>162</v>
      </c>
      <c r="D112" s="12">
        <v>12.35</v>
      </c>
      <c r="E112" s="15" t="s">
        <v>11</v>
      </c>
      <c r="F112" s="21"/>
      <c r="G112" s="22"/>
      <c r="H112" s="10"/>
      <c r="I112" s="212"/>
      <c r="J112" s="217"/>
      <c r="K112" s="217"/>
      <c r="L112" s="184"/>
    </row>
    <row r="113" spans="1:12" x14ac:dyDescent="0.2">
      <c r="A113" s="10">
        <v>20920</v>
      </c>
      <c r="B113" s="11">
        <v>42625</v>
      </c>
      <c r="C113" s="12">
        <v>16</v>
      </c>
      <c r="D113" s="12">
        <v>1.22</v>
      </c>
      <c r="E113" s="17"/>
      <c r="F113" s="20">
        <f>+C100+C105+C107+50+C111+C112</f>
        <v>347.65</v>
      </c>
      <c r="G113" s="20">
        <v>341.33</v>
      </c>
      <c r="H113" s="12"/>
      <c r="I113" s="212"/>
      <c r="J113" s="217"/>
      <c r="K113" s="217"/>
      <c r="L113" s="184"/>
    </row>
    <row r="114" spans="1:12" x14ac:dyDescent="0.2">
      <c r="A114" s="10">
        <v>20921</v>
      </c>
      <c r="B114" s="11">
        <v>42626</v>
      </c>
      <c r="C114" s="12">
        <v>272.79000000000002</v>
      </c>
      <c r="D114" s="12">
        <v>20.79</v>
      </c>
      <c r="E114" s="17"/>
      <c r="F114" s="18"/>
      <c r="G114" s="19"/>
      <c r="H114" s="12"/>
      <c r="I114" s="212"/>
      <c r="J114" s="217"/>
      <c r="K114" s="217"/>
      <c r="L114" s="184"/>
    </row>
    <row r="115" spans="1:12" x14ac:dyDescent="0.2">
      <c r="A115" s="10">
        <v>20922</v>
      </c>
      <c r="B115" s="11">
        <v>42626</v>
      </c>
      <c r="C115" s="12">
        <v>43.3</v>
      </c>
      <c r="D115" s="12">
        <v>3.3</v>
      </c>
      <c r="E115" s="17"/>
      <c r="F115" s="18"/>
      <c r="G115" s="19"/>
      <c r="H115" s="12"/>
      <c r="I115" s="212"/>
      <c r="J115" s="217"/>
      <c r="K115" s="217"/>
      <c r="L115" s="184"/>
    </row>
    <row r="116" spans="1:12" x14ac:dyDescent="0.2">
      <c r="A116" s="10">
        <v>20923</v>
      </c>
      <c r="B116" s="11">
        <v>42626</v>
      </c>
      <c r="C116" s="12">
        <v>29</v>
      </c>
      <c r="D116" s="12">
        <v>2.21</v>
      </c>
      <c r="E116" s="17"/>
      <c r="F116" s="18"/>
      <c r="G116" s="19"/>
      <c r="H116" s="12"/>
      <c r="I116" s="212"/>
      <c r="J116" s="217"/>
      <c r="K116" s="217"/>
      <c r="L116" s="184"/>
    </row>
    <row r="117" spans="1:12" x14ac:dyDescent="0.2">
      <c r="A117" s="10">
        <v>20924</v>
      </c>
      <c r="B117" s="11">
        <v>42626</v>
      </c>
      <c r="C117" s="12">
        <v>-1</v>
      </c>
      <c r="D117" s="12"/>
      <c r="E117" s="17"/>
      <c r="F117" s="18"/>
      <c r="G117" s="19"/>
      <c r="H117" s="12"/>
      <c r="I117" s="212"/>
      <c r="J117" s="217"/>
      <c r="K117" s="217"/>
      <c r="L117" s="184"/>
    </row>
    <row r="118" spans="1:12" x14ac:dyDescent="0.2">
      <c r="A118" s="10">
        <v>20925</v>
      </c>
      <c r="B118" s="11">
        <v>42626</v>
      </c>
      <c r="C118" s="12">
        <v>149.86999999999998</v>
      </c>
      <c r="D118" s="12">
        <v>11.42</v>
      </c>
      <c r="E118" s="15" t="s">
        <v>7</v>
      </c>
      <c r="F118" s="21"/>
      <c r="G118" s="22"/>
      <c r="H118" s="10"/>
      <c r="I118" s="212"/>
      <c r="J118" s="217"/>
      <c r="K118" s="217"/>
      <c r="L118" s="184"/>
    </row>
    <row r="119" spans="1:12" x14ac:dyDescent="0.2">
      <c r="A119" s="10">
        <v>20926</v>
      </c>
      <c r="B119" s="11">
        <v>42626</v>
      </c>
      <c r="C119" s="12">
        <v>213</v>
      </c>
      <c r="D119" s="12">
        <v>16.23</v>
      </c>
      <c r="E119" s="17"/>
      <c r="H119" s="12"/>
      <c r="I119" s="212"/>
      <c r="J119" s="217"/>
      <c r="K119" s="217"/>
      <c r="L119" s="184"/>
    </row>
    <row r="120" spans="1:12" x14ac:dyDescent="0.2">
      <c r="A120" s="10">
        <v>20927</v>
      </c>
      <c r="B120" s="11">
        <v>42626</v>
      </c>
      <c r="C120" s="12">
        <v>80</v>
      </c>
      <c r="D120" s="12">
        <v>6.1</v>
      </c>
      <c r="E120" s="17"/>
      <c r="H120" s="12"/>
      <c r="I120" s="212"/>
      <c r="J120" s="217"/>
      <c r="K120" s="217"/>
      <c r="L120" s="184"/>
    </row>
    <row r="121" spans="1:12" x14ac:dyDescent="0.2">
      <c r="A121" s="10">
        <v>20928</v>
      </c>
      <c r="B121" s="11">
        <v>42626</v>
      </c>
      <c r="C121" s="12">
        <v>69.5</v>
      </c>
      <c r="D121" s="12"/>
      <c r="E121" s="15" t="s">
        <v>16</v>
      </c>
      <c r="H121" s="10"/>
      <c r="I121" s="212"/>
      <c r="J121" s="217"/>
      <c r="K121" s="217"/>
      <c r="L121" s="184"/>
    </row>
    <row r="122" spans="1:12" x14ac:dyDescent="0.2">
      <c r="A122" s="10">
        <v>20929</v>
      </c>
      <c r="B122" s="11">
        <v>42626</v>
      </c>
      <c r="C122" s="12">
        <v>339.91</v>
      </c>
      <c r="D122" s="12">
        <v>25.91</v>
      </c>
      <c r="E122" s="15" t="s">
        <v>774</v>
      </c>
      <c r="H122" s="10"/>
      <c r="I122" s="212"/>
      <c r="J122" s="217"/>
      <c r="K122" s="217"/>
      <c r="L122" s="184"/>
    </row>
    <row r="123" spans="1:12" x14ac:dyDescent="0.2">
      <c r="A123" s="10">
        <v>20930</v>
      </c>
      <c r="B123" s="11">
        <v>42626</v>
      </c>
      <c r="C123" s="12">
        <v>56.29</v>
      </c>
      <c r="D123" s="12">
        <v>4.29</v>
      </c>
      <c r="E123" s="17" t="s">
        <v>775</v>
      </c>
      <c r="F123" s="20">
        <f>+C118+45.46</f>
        <v>195.32999999999998</v>
      </c>
      <c r="G123" s="20">
        <v>194.03</v>
      </c>
      <c r="H123" s="12"/>
      <c r="I123" s="212"/>
      <c r="J123" s="217"/>
      <c r="K123" s="217"/>
      <c r="L123" s="184"/>
    </row>
    <row r="124" spans="1:12" x14ac:dyDescent="0.2">
      <c r="A124" s="10">
        <v>20931</v>
      </c>
      <c r="B124" s="11">
        <v>42627</v>
      </c>
      <c r="C124" s="12">
        <v>47.63</v>
      </c>
      <c r="D124" s="12">
        <v>3.63</v>
      </c>
      <c r="E124" s="15" t="s">
        <v>11</v>
      </c>
      <c r="H124" s="10"/>
      <c r="I124" s="212"/>
      <c r="J124" s="217"/>
      <c r="K124" s="217"/>
      <c r="L124" s="184"/>
    </row>
    <row r="125" spans="1:12" x14ac:dyDescent="0.2">
      <c r="A125" s="10">
        <v>20932</v>
      </c>
      <c r="B125" s="11">
        <v>42627</v>
      </c>
      <c r="C125" s="12">
        <v>82.7</v>
      </c>
      <c r="D125" s="12">
        <v>6.3</v>
      </c>
      <c r="E125" s="15" t="s">
        <v>533</v>
      </c>
      <c r="H125" s="10"/>
      <c r="I125" s="212"/>
      <c r="J125" s="217"/>
      <c r="K125" s="217"/>
      <c r="L125" s="184"/>
    </row>
    <row r="126" spans="1:12" x14ac:dyDescent="0.2">
      <c r="A126" s="10">
        <v>20933</v>
      </c>
      <c r="B126" s="11">
        <v>42627</v>
      </c>
      <c r="C126" s="12">
        <v>32</v>
      </c>
      <c r="D126" s="12">
        <v>2.4300000000000002</v>
      </c>
      <c r="E126" s="15" t="s">
        <v>386</v>
      </c>
      <c r="I126" s="212"/>
      <c r="J126" s="217"/>
      <c r="K126" s="217"/>
      <c r="L126" s="184"/>
    </row>
    <row r="127" spans="1:12" x14ac:dyDescent="0.2">
      <c r="A127" s="10">
        <v>20934</v>
      </c>
      <c r="B127" s="11">
        <v>42627</v>
      </c>
      <c r="C127" s="12">
        <v>0</v>
      </c>
      <c r="D127" s="12"/>
      <c r="E127" s="13" t="s">
        <v>276</v>
      </c>
      <c r="F127" s="18"/>
      <c r="G127" s="19"/>
      <c r="H127" s="12"/>
      <c r="I127" s="212"/>
      <c r="J127" s="217"/>
      <c r="K127" s="217"/>
      <c r="L127" s="184"/>
    </row>
    <row r="128" spans="1:12" x14ac:dyDescent="0.2">
      <c r="A128" s="10">
        <v>20935</v>
      </c>
      <c r="B128" s="11">
        <v>42627</v>
      </c>
      <c r="C128" s="12">
        <v>80</v>
      </c>
      <c r="D128" s="12">
        <v>6.1</v>
      </c>
      <c r="E128" s="17"/>
      <c r="F128" s="18"/>
      <c r="G128" s="19"/>
      <c r="H128" s="12"/>
      <c r="I128" s="212"/>
      <c r="J128" s="217"/>
      <c r="K128" s="217"/>
      <c r="L128" s="184"/>
    </row>
    <row r="129" spans="1:12" x14ac:dyDescent="0.2">
      <c r="A129" s="10">
        <v>20936</v>
      </c>
      <c r="B129" s="11">
        <v>42627</v>
      </c>
      <c r="C129" s="12">
        <v>71.2</v>
      </c>
      <c r="D129" s="12"/>
      <c r="E129" s="15" t="s">
        <v>25</v>
      </c>
      <c r="I129" s="212"/>
      <c r="J129" s="217"/>
      <c r="K129" s="217"/>
      <c r="L129" s="184"/>
    </row>
    <row r="130" spans="1:12" x14ac:dyDescent="0.2">
      <c r="A130" s="10">
        <v>20937</v>
      </c>
      <c r="B130" s="11">
        <v>42627</v>
      </c>
      <c r="C130" s="12">
        <v>290</v>
      </c>
      <c r="D130" s="12">
        <v>22.1</v>
      </c>
      <c r="E130" s="15"/>
      <c r="I130" s="212"/>
      <c r="J130" s="217"/>
      <c r="K130" s="217"/>
      <c r="L130" s="184"/>
    </row>
    <row r="131" spans="1:12" x14ac:dyDescent="0.2">
      <c r="A131" s="10">
        <v>20938</v>
      </c>
      <c r="B131" s="11">
        <v>42627</v>
      </c>
      <c r="C131" s="12">
        <v>167.65</v>
      </c>
      <c r="D131" s="12"/>
      <c r="E131" s="15" t="s">
        <v>60</v>
      </c>
      <c r="F131" s="20">
        <f>+C124+82.7</f>
        <v>130.33000000000001</v>
      </c>
      <c r="G131" s="20">
        <f>47.15+71.75</f>
        <v>118.9</v>
      </c>
      <c r="H131" s="114"/>
      <c r="I131" s="212"/>
      <c r="J131" s="217"/>
      <c r="K131" s="217"/>
      <c r="L131" s="184"/>
    </row>
    <row r="132" spans="1:12" x14ac:dyDescent="0.2">
      <c r="A132" s="10">
        <v>20939</v>
      </c>
      <c r="B132" s="11">
        <v>42628</v>
      </c>
      <c r="C132" s="12">
        <v>51.96</v>
      </c>
      <c r="D132" s="12">
        <v>3.96</v>
      </c>
      <c r="E132" s="15" t="s">
        <v>11</v>
      </c>
      <c r="H132" s="10"/>
      <c r="I132" s="212"/>
      <c r="J132" s="217"/>
      <c r="K132" s="217"/>
      <c r="L132" s="184"/>
    </row>
    <row r="133" spans="1:12" x14ac:dyDescent="0.2">
      <c r="A133" s="10">
        <v>20940</v>
      </c>
      <c r="B133" s="11">
        <v>42628</v>
      </c>
      <c r="C133" s="12">
        <v>22.08</v>
      </c>
      <c r="D133" s="12"/>
      <c r="E133" s="15" t="s">
        <v>11</v>
      </c>
      <c r="F133" s="21"/>
      <c r="G133" s="22"/>
      <c r="H133" s="10"/>
      <c r="I133" s="212"/>
      <c r="J133" s="217"/>
      <c r="K133" s="217"/>
      <c r="L133" s="184"/>
    </row>
    <row r="134" spans="1:12" x14ac:dyDescent="0.2">
      <c r="A134" s="10">
        <v>20941</v>
      </c>
      <c r="B134" s="11">
        <v>42628</v>
      </c>
      <c r="C134" s="12">
        <v>42.870000000000005</v>
      </c>
      <c r="D134" s="12">
        <v>3.27</v>
      </c>
      <c r="E134" s="17"/>
      <c r="F134" s="18"/>
      <c r="G134" s="19"/>
      <c r="H134" s="12"/>
      <c r="I134" s="212"/>
      <c r="J134" s="217"/>
      <c r="K134" s="217"/>
      <c r="L134" s="184"/>
    </row>
    <row r="135" spans="1:12" x14ac:dyDescent="0.2">
      <c r="A135" s="10">
        <v>20942</v>
      </c>
      <c r="B135" s="11">
        <v>42628</v>
      </c>
      <c r="C135" s="12">
        <v>33.5</v>
      </c>
      <c r="D135" s="12">
        <v>2.5499999999999998</v>
      </c>
      <c r="E135" s="17"/>
      <c r="H135" s="12"/>
      <c r="I135" s="212"/>
      <c r="J135" s="217"/>
      <c r="K135" s="217"/>
      <c r="L135" s="184"/>
    </row>
    <row r="136" spans="1:12" x14ac:dyDescent="0.2">
      <c r="A136" s="10">
        <v>20943</v>
      </c>
      <c r="B136" s="11">
        <v>42628</v>
      </c>
      <c r="C136" s="12">
        <v>24.9</v>
      </c>
      <c r="D136" s="12">
        <v>1.9</v>
      </c>
      <c r="E136" s="15" t="s">
        <v>523</v>
      </c>
      <c r="H136" s="10"/>
      <c r="I136" s="212"/>
      <c r="J136" s="217"/>
      <c r="K136" s="217"/>
      <c r="L136" s="184"/>
    </row>
    <row r="137" spans="1:12" x14ac:dyDescent="0.2">
      <c r="A137" s="10">
        <v>20944</v>
      </c>
      <c r="B137" s="11">
        <v>42628</v>
      </c>
      <c r="C137" s="12">
        <v>61.81</v>
      </c>
      <c r="D137" s="12"/>
      <c r="E137" s="15" t="s">
        <v>16</v>
      </c>
      <c r="H137" s="10"/>
      <c r="I137" s="212"/>
      <c r="J137" s="217"/>
      <c r="K137" s="217"/>
      <c r="L137" s="184"/>
    </row>
    <row r="138" spans="1:12" x14ac:dyDescent="0.2">
      <c r="A138" s="10">
        <v>20945</v>
      </c>
      <c r="B138" s="11">
        <v>42628</v>
      </c>
      <c r="C138" s="12">
        <v>7</v>
      </c>
      <c r="D138" s="12"/>
      <c r="E138" s="15" t="s">
        <v>25</v>
      </c>
      <c r="F138" s="21"/>
      <c r="G138" s="22"/>
      <c r="H138" s="10"/>
      <c r="I138" s="212"/>
      <c r="J138" s="217"/>
      <c r="K138" s="217"/>
      <c r="L138" s="184"/>
    </row>
    <row r="139" spans="1:12" x14ac:dyDescent="0.2">
      <c r="A139" s="10">
        <v>20946</v>
      </c>
      <c r="B139" s="11">
        <v>42628</v>
      </c>
      <c r="C139" s="12">
        <v>541.25</v>
      </c>
      <c r="D139" s="12">
        <v>41.25</v>
      </c>
      <c r="E139" s="15" t="s">
        <v>533</v>
      </c>
      <c r="F139" s="21"/>
      <c r="G139" s="22"/>
      <c r="H139" s="10"/>
      <c r="I139" s="212"/>
      <c r="J139" s="217"/>
      <c r="K139" s="217"/>
      <c r="L139" s="184"/>
    </row>
    <row r="140" spans="1:12" x14ac:dyDescent="0.2">
      <c r="A140" s="10">
        <v>20947</v>
      </c>
      <c r="B140" s="11">
        <v>42628</v>
      </c>
      <c r="C140" s="12">
        <v>0</v>
      </c>
      <c r="D140" s="12">
        <v>0</v>
      </c>
      <c r="E140" s="15" t="s">
        <v>776</v>
      </c>
      <c r="F140" s="20">
        <f>+C132+C133+C90+C136</f>
        <v>269.91999999999996</v>
      </c>
      <c r="G140" s="20">
        <v>267.52</v>
      </c>
      <c r="H140" s="10"/>
      <c r="I140" s="212"/>
      <c r="J140" s="217"/>
      <c r="K140" s="217"/>
      <c r="L140" s="184"/>
    </row>
    <row r="141" spans="1:12" x14ac:dyDescent="0.2">
      <c r="A141" s="10">
        <v>20948</v>
      </c>
      <c r="B141" s="11">
        <v>42629</v>
      </c>
      <c r="C141" s="12">
        <v>97.43</v>
      </c>
      <c r="D141" s="12">
        <v>7.43</v>
      </c>
      <c r="E141" s="17"/>
      <c r="F141" s="18"/>
      <c r="G141" s="19"/>
      <c r="H141" s="12"/>
      <c r="I141" s="212"/>
      <c r="J141" s="217"/>
      <c r="K141" s="217"/>
      <c r="L141" s="184"/>
    </row>
    <row r="142" spans="1:12" x14ac:dyDescent="0.2">
      <c r="A142" s="10">
        <v>20949</v>
      </c>
      <c r="B142" s="11">
        <v>42629</v>
      </c>
      <c r="C142" s="12">
        <v>32.42</v>
      </c>
      <c r="D142" s="12">
        <v>2.4700000000000002</v>
      </c>
      <c r="E142" s="15" t="s">
        <v>11</v>
      </c>
      <c r="H142" s="10"/>
      <c r="I142" s="212"/>
      <c r="J142" s="217"/>
      <c r="K142" s="217"/>
      <c r="L142" s="184"/>
    </row>
    <row r="143" spans="1:12" x14ac:dyDescent="0.2">
      <c r="A143" s="10">
        <v>20950</v>
      </c>
      <c r="B143" s="11">
        <v>42629</v>
      </c>
      <c r="C143" s="12">
        <v>218.67000000000002</v>
      </c>
      <c r="D143" s="12">
        <v>16.670000000000002</v>
      </c>
      <c r="E143" s="15" t="s">
        <v>7</v>
      </c>
      <c r="F143" s="115"/>
      <c r="G143" s="115"/>
      <c r="H143" s="10"/>
      <c r="I143" s="212"/>
      <c r="J143" s="217"/>
      <c r="K143" s="217"/>
      <c r="L143" s="184"/>
    </row>
    <row r="144" spans="1:12" x14ac:dyDescent="0.2">
      <c r="A144" s="10">
        <v>20951</v>
      </c>
      <c r="B144" s="11">
        <v>42629</v>
      </c>
      <c r="C144" s="12">
        <v>45</v>
      </c>
      <c r="D144" s="12">
        <v>3.43</v>
      </c>
      <c r="E144" s="17"/>
      <c r="F144" s="18"/>
      <c r="G144" s="19"/>
      <c r="H144" s="12"/>
      <c r="I144" s="212"/>
      <c r="J144" s="217"/>
      <c r="K144" s="217"/>
      <c r="L144" s="184"/>
    </row>
    <row r="145" spans="1:12" x14ac:dyDescent="0.2">
      <c r="A145" s="10">
        <v>20952</v>
      </c>
      <c r="B145" s="11">
        <v>42629</v>
      </c>
      <c r="C145" s="12">
        <v>51</v>
      </c>
      <c r="D145" s="12">
        <v>3.89</v>
      </c>
      <c r="E145" s="17"/>
      <c r="F145" s="115"/>
      <c r="G145" s="115"/>
      <c r="H145" s="12"/>
      <c r="I145" s="212"/>
      <c r="J145" s="217"/>
      <c r="K145" s="217"/>
      <c r="L145" s="184"/>
    </row>
    <row r="146" spans="1:12" x14ac:dyDescent="0.2">
      <c r="A146" s="10">
        <v>20953</v>
      </c>
      <c r="B146" s="11">
        <v>42629</v>
      </c>
      <c r="C146" s="12">
        <v>355</v>
      </c>
      <c r="D146" s="12">
        <v>27.06</v>
      </c>
      <c r="E146" s="15" t="s">
        <v>21</v>
      </c>
      <c r="F146" s="21"/>
      <c r="G146" s="22"/>
      <c r="H146" s="10"/>
      <c r="I146" s="212"/>
      <c r="J146" s="217"/>
      <c r="K146" s="217"/>
      <c r="L146" s="184"/>
    </row>
    <row r="147" spans="1:12" x14ac:dyDescent="0.2">
      <c r="A147" s="10">
        <v>20954</v>
      </c>
      <c r="B147" s="11">
        <v>42629</v>
      </c>
      <c r="C147" s="12">
        <v>12</v>
      </c>
      <c r="D147" s="12">
        <v>0.91</v>
      </c>
      <c r="E147" s="17"/>
      <c r="F147" s="18"/>
      <c r="G147" s="19"/>
      <c r="H147" s="12"/>
      <c r="I147" s="212"/>
      <c r="J147" s="217"/>
      <c r="K147" s="217"/>
      <c r="L147" s="184"/>
    </row>
    <row r="148" spans="1:12" x14ac:dyDescent="0.2">
      <c r="A148" s="10">
        <v>20955</v>
      </c>
      <c r="B148" s="11">
        <v>42629</v>
      </c>
      <c r="C148" s="12">
        <v>10.83</v>
      </c>
      <c r="D148" s="12">
        <v>0.83</v>
      </c>
      <c r="E148" s="17"/>
      <c r="F148" s="18"/>
      <c r="G148" s="19"/>
      <c r="H148" s="12"/>
      <c r="I148" s="212"/>
      <c r="J148" s="217"/>
      <c r="K148" s="217"/>
      <c r="L148" s="184"/>
    </row>
    <row r="149" spans="1:12" x14ac:dyDescent="0.2">
      <c r="A149" s="10">
        <v>20956</v>
      </c>
      <c r="B149" s="11">
        <v>42629</v>
      </c>
      <c r="C149" s="12">
        <v>14</v>
      </c>
      <c r="D149" s="12">
        <v>1.07</v>
      </c>
      <c r="E149" s="17"/>
      <c r="H149" s="12"/>
      <c r="I149" s="212"/>
      <c r="J149" s="217"/>
      <c r="K149" s="217"/>
      <c r="L149" s="184"/>
    </row>
    <row r="150" spans="1:12" x14ac:dyDescent="0.2">
      <c r="A150" s="10">
        <v>20957</v>
      </c>
      <c r="B150" s="11">
        <v>42629</v>
      </c>
      <c r="C150" s="12">
        <v>124.49</v>
      </c>
      <c r="D150" s="12">
        <v>9.49</v>
      </c>
      <c r="E150" s="15" t="s">
        <v>533</v>
      </c>
      <c r="F150" s="20">
        <f>+C142+75+124.49</f>
        <v>231.91</v>
      </c>
      <c r="G150" s="20">
        <f>106.24+108</f>
        <v>214.24</v>
      </c>
      <c r="H150" s="114"/>
      <c r="I150" s="212"/>
      <c r="J150" s="217"/>
      <c r="K150" s="217"/>
      <c r="L150" s="184"/>
    </row>
    <row r="151" spans="1:12" x14ac:dyDescent="0.2">
      <c r="A151" s="10">
        <v>20958</v>
      </c>
      <c r="B151" s="11">
        <v>42630</v>
      </c>
      <c r="C151" s="12">
        <v>55</v>
      </c>
      <c r="D151" s="12"/>
      <c r="E151" s="15" t="s">
        <v>60</v>
      </c>
      <c r="F151" s="21"/>
      <c r="G151" s="22"/>
      <c r="H151" s="10"/>
      <c r="I151" s="212"/>
      <c r="J151" s="217"/>
      <c r="K151" s="217"/>
      <c r="L151" s="184"/>
    </row>
    <row r="152" spans="1:12" x14ac:dyDescent="0.2">
      <c r="A152" s="10">
        <v>20959</v>
      </c>
      <c r="B152" s="11">
        <v>42630</v>
      </c>
      <c r="C152" s="12">
        <v>135</v>
      </c>
      <c r="D152" s="12">
        <v>10.29</v>
      </c>
      <c r="E152" s="13"/>
      <c r="F152" s="18"/>
      <c r="G152" s="19"/>
      <c r="H152" s="12"/>
      <c r="I152" s="212"/>
      <c r="J152" s="217"/>
      <c r="K152" s="217"/>
      <c r="L152" s="184"/>
    </row>
    <row r="153" spans="1:12" x14ac:dyDescent="0.2">
      <c r="A153" s="10">
        <v>20960</v>
      </c>
      <c r="B153" s="11">
        <v>42630</v>
      </c>
      <c r="C153" s="12">
        <v>10</v>
      </c>
      <c r="D153" s="12">
        <v>0.76</v>
      </c>
      <c r="E153" s="13"/>
      <c r="F153" s="18"/>
      <c r="G153" s="19"/>
      <c r="H153" s="12"/>
      <c r="I153" s="212"/>
      <c r="J153" s="217"/>
      <c r="K153" s="217"/>
      <c r="L153" s="184"/>
    </row>
    <row r="154" spans="1:12" x14ac:dyDescent="0.2">
      <c r="A154" s="10">
        <v>20961</v>
      </c>
      <c r="B154" s="11">
        <v>42630</v>
      </c>
      <c r="C154" s="12">
        <v>163</v>
      </c>
      <c r="D154" s="12"/>
      <c r="E154" s="13" t="s">
        <v>40</v>
      </c>
      <c r="F154" s="18"/>
      <c r="G154" s="19"/>
      <c r="H154" s="12"/>
      <c r="I154" s="212"/>
      <c r="J154" s="217"/>
      <c r="K154" s="217"/>
      <c r="L154" s="184"/>
    </row>
    <row r="155" spans="1:12" x14ac:dyDescent="0.2">
      <c r="A155" s="10">
        <v>20962</v>
      </c>
      <c r="B155" s="11">
        <v>42630</v>
      </c>
      <c r="C155" s="12">
        <v>231.11</v>
      </c>
      <c r="D155" s="12">
        <v>17.61</v>
      </c>
      <c r="E155" s="15" t="s">
        <v>7</v>
      </c>
      <c r="H155" s="10"/>
      <c r="I155" s="212"/>
      <c r="J155" s="217"/>
      <c r="K155" s="217"/>
      <c r="L155" s="184"/>
    </row>
    <row r="156" spans="1:12" x14ac:dyDescent="0.2">
      <c r="A156" s="10">
        <v>20963</v>
      </c>
      <c r="B156" s="11">
        <v>42630</v>
      </c>
      <c r="C156" s="12">
        <v>2.71</v>
      </c>
      <c r="D156" s="12">
        <v>0.21</v>
      </c>
      <c r="E156" s="17"/>
      <c r="H156" s="12"/>
      <c r="I156" s="212"/>
      <c r="J156" s="217"/>
      <c r="K156" s="217"/>
      <c r="L156" s="184"/>
    </row>
    <row r="157" spans="1:12" x14ac:dyDescent="0.2">
      <c r="A157" s="10">
        <v>20964</v>
      </c>
      <c r="B157" s="11">
        <v>42630</v>
      </c>
      <c r="C157" s="12">
        <v>180</v>
      </c>
      <c r="D157" s="12">
        <v>13.72</v>
      </c>
      <c r="E157" s="15" t="s">
        <v>21</v>
      </c>
      <c r="F157" s="21"/>
      <c r="G157" s="22"/>
      <c r="H157" s="10"/>
      <c r="I157" s="212"/>
      <c r="J157" s="217"/>
      <c r="K157" s="217"/>
      <c r="L157" s="184"/>
    </row>
    <row r="158" spans="1:12" x14ac:dyDescent="0.2">
      <c r="A158" s="10">
        <v>20965</v>
      </c>
      <c r="B158" s="11">
        <v>42630</v>
      </c>
      <c r="C158" s="12">
        <v>151</v>
      </c>
      <c r="D158" s="12"/>
      <c r="E158" s="15" t="s">
        <v>25</v>
      </c>
      <c r="F158" s="20">
        <f>+C155</f>
        <v>231.11</v>
      </c>
      <c r="G158" s="20">
        <v>227.76</v>
      </c>
      <c r="H158" s="10"/>
      <c r="I158" s="212"/>
      <c r="J158" s="217"/>
      <c r="K158" s="217"/>
      <c r="L158" s="184"/>
    </row>
    <row r="159" spans="1:12" x14ac:dyDescent="0.2">
      <c r="A159" s="10">
        <v>20966</v>
      </c>
      <c r="B159" s="11">
        <v>42632</v>
      </c>
      <c r="C159" s="12">
        <v>17.32</v>
      </c>
      <c r="D159" s="12">
        <v>1.32</v>
      </c>
      <c r="E159" s="17"/>
      <c r="F159" s="18"/>
      <c r="G159" s="19"/>
      <c r="H159" s="12"/>
      <c r="I159" s="212"/>
      <c r="J159" s="217"/>
      <c r="K159" s="217"/>
      <c r="L159" s="184"/>
    </row>
    <row r="160" spans="1:12" x14ac:dyDescent="0.2">
      <c r="A160" s="10">
        <v>20967</v>
      </c>
      <c r="B160" s="11">
        <v>42632</v>
      </c>
      <c r="C160" s="12">
        <v>30</v>
      </c>
      <c r="D160" s="12">
        <v>2.29</v>
      </c>
      <c r="E160" s="17"/>
      <c r="F160" s="18"/>
      <c r="G160" s="19"/>
      <c r="H160" s="12"/>
      <c r="I160" s="212"/>
      <c r="J160" s="217"/>
      <c r="K160" s="217"/>
      <c r="L160" s="184"/>
    </row>
    <row r="161" spans="1:12" x14ac:dyDescent="0.2">
      <c r="A161" s="10">
        <v>20968</v>
      </c>
      <c r="B161" s="11">
        <v>42632</v>
      </c>
      <c r="C161" s="12">
        <v>53.04</v>
      </c>
      <c r="D161" s="12">
        <v>4.04</v>
      </c>
      <c r="E161" s="15" t="s">
        <v>11</v>
      </c>
      <c r="H161" s="10"/>
      <c r="I161" s="212"/>
      <c r="J161" s="217"/>
      <c r="K161" s="217"/>
      <c r="L161" s="184"/>
    </row>
    <row r="162" spans="1:12" x14ac:dyDescent="0.2">
      <c r="A162" s="10">
        <v>20969</v>
      </c>
      <c r="B162" s="11">
        <v>42632</v>
      </c>
      <c r="C162" s="12">
        <v>47.31</v>
      </c>
      <c r="D162" s="12">
        <v>3.61</v>
      </c>
      <c r="E162" s="15" t="s">
        <v>11</v>
      </c>
      <c r="F162" s="21"/>
      <c r="G162" s="22"/>
      <c r="H162" s="10"/>
      <c r="I162" s="212"/>
      <c r="J162" s="217"/>
      <c r="K162" s="217"/>
      <c r="L162" s="184"/>
    </row>
    <row r="163" spans="1:12" x14ac:dyDescent="0.2">
      <c r="A163" s="10">
        <v>20970</v>
      </c>
      <c r="B163" s="11">
        <v>42632</v>
      </c>
      <c r="C163" s="12">
        <v>290</v>
      </c>
      <c r="D163" s="12">
        <v>22.1</v>
      </c>
      <c r="E163" s="17"/>
      <c r="H163" s="12"/>
      <c r="I163" s="212"/>
      <c r="J163" s="217"/>
      <c r="K163" s="217"/>
      <c r="L163" s="184"/>
    </row>
    <row r="164" spans="1:12" x14ac:dyDescent="0.2">
      <c r="A164" s="10">
        <v>20971</v>
      </c>
      <c r="B164" s="11">
        <v>42632</v>
      </c>
      <c r="C164" s="12">
        <v>20</v>
      </c>
      <c r="D164" s="12">
        <v>1.52</v>
      </c>
      <c r="E164" s="15" t="s">
        <v>11</v>
      </c>
      <c r="H164" s="10"/>
      <c r="I164" s="212"/>
      <c r="J164" s="217"/>
      <c r="K164" s="217"/>
      <c r="L164" s="184"/>
    </row>
    <row r="165" spans="1:12" x14ac:dyDescent="0.2">
      <c r="A165" s="10">
        <v>20972</v>
      </c>
      <c r="B165" s="11">
        <v>42632</v>
      </c>
      <c r="C165" s="12">
        <v>469.81</v>
      </c>
      <c r="D165" s="12">
        <v>35.81</v>
      </c>
      <c r="E165" s="15" t="s">
        <v>777</v>
      </c>
      <c r="H165" s="10"/>
      <c r="I165" s="212"/>
      <c r="J165" s="217"/>
      <c r="K165" s="217"/>
      <c r="L165" s="184"/>
    </row>
    <row r="166" spans="1:12" x14ac:dyDescent="0.2">
      <c r="A166" s="10">
        <v>20973</v>
      </c>
      <c r="B166" s="11">
        <v>42632</v>
      </c>
      <c r="C166" s="12">
        <v>23</v>
      </c>
      <c r="D166" s="12">
        <v>1.75</v>
      </c>
      <c r="E166" s="17"/>
      <c r="H166" s="12"/>
      <c r="I166" s="212"/>
      <c r="J166" s="217"/>
      <c r="K166" s="217"/>
      <c r="L166" s="184"/>
    </row>
    <row r="167" spans="1:12" x14ac:dyDescent="0.2">
      <c r="A167" s="10">
        <v>20974</v>
      </c>
      <c r="B167" s="11">
        <v>42632</v>
      </c>
      <c r="C167" s="12">
        <v>218.67000000000002</v>
      </c>
      <c r="D167" s="12">
        <v>16.670000000000002</v>
      </c>
      <c r="E167" s="17"/>
      <c r="F167" s="20">
        <f>+C161+C162+C164</f>
        <v>120.35</v>
      </c>
      <c r="G167" s="20">
        <v>117.7</v>
      </c>
      <c r="H167" s="12"/>
      <c r="I167" s="212"/>
      <c r="J167" s="217"/>
      <c r="K167" s="217"/>
      <c r="L167" s="184"/>
    </row>
    <row r="168" spans="1:12" x14ac:dyDescent="0.2">
      <c r="A168" s="10">
        <v>20975</v>
      </c>
      <c r="B168" s="11">
        <v>42633</v>
      </c>
      <c r="C168" s="12">
        <v>7.24</v>
      </c>
      <c r="D168" s="12">
        <v>0.55000000000000004</v>
      </c>
      <c r="E168" s="15" t="s">
        <v>268</v>
      </c>
      <c r="F168" s="21"/>
      <c r="G168" s="22"/>
      <c r="H168" s="10"/>
      <c r="I168" s="212"/>
      <c r="J168" s="217"/>
      <c r="K168" s="217"/>
      <c r="L168" s="184"/>
    </row>
    <row r="169" spans="1:12" x14ac:dyDescent="0.2">
      <c r="A169" s="10">
        <v>20976</v>
      </c>
      <c r="B169" s="11">
        <v>42633</v>
      </c>
      <c r="C169" s="12">
        <v>6.7</v>
      </c>
      <c r="D169" s="12"/>
      <c r="E169" s="15" t="s">
        <v>280</v>
      </c>
      <c r="F169" s="21"/>
      <c r="G169" s="22"/>
      <c r="H169" s="10"/>
      <c r="I169" s="212"/>
      <c r="J169" s="217"/>
      <c r="K169" s="217"/>
      <c r="L169" s="184"/>
    </row>
    <row r="170" spans="1:12" x14ac:dyDescent="0.2">
      <c r="A170" s="10">
        <v>20977</v>
      </c>
      <c r="B170" s="11">
        <v>42633</v>
      </c>
      <c r="C170" s="12">
        <v>443.2</v>
      </c>
      <c r="D170" s="12"/>
      <c r="E170" s="15" t="s">
        <v>60</v>
      </c>
      <c r="I170" s="212"/>
      <c r="J170" s="217"/>
      <c r="K170" s="217"/>
      <c r="L170" s="184"/>
    </row>
    <row r="171" spans="1:12" x14ac:dyDescent="0.2">
      <c r="A171" s="10">
        <v>20978</v>
      </c>
      <c r="B171" s="11">
        <v>42633</v>
      </c>
      <c r="C171" s="12">
        <v>33</v>
      </c>
      <c r="D171" s="12"/>
      <c r="E171" s="15" t="s">
        <v>25</v>
      </c>
      <c r="F171" s="21"/>
      <c r="G171" s="22"/>
      <c r="H171" s="10"/>
      <c r="I171" s="212"/>
      <c r="J171" s="217"/>
      <c r="K171" s="217"/>
      <c r="L171" s="184"/>
    </row>
    <row r="172" spans="1:12" x14ac:dyDescent="0.2">
      <c r="A172" s="10">
        <v>20979</v>
      </c>
      <c r="B172" s="11">
        <v>42633</v>
      </c>
      <c r="C172" s="12">
        <v>130.97999999999999</v>
      </c>
      <c r="D172" s="12">
        <v>9.98</v>
      </c>
      <c r="E172" s="17"/>
      <c r="F172" s="18"/>
      <c r="G172" s="19"/>
      <c r="H172" s="12"/>
      <c r="I172" s="212"/>
      <c r="J172" s="217"/>
      <c r="K172" s="217"/>
      <c r="L172" s="184"/>
    </row>
    <row r="173" spans="1:12" x14ac:dyDescent="0.2">
      <c r="A173" s="10">
        <v>20980</v>
      </c>
      <c r="B173" s="11">
        <v>42633</v>
      </c>
      <c r="C173" s="12">
        <v>238.69</v>
      </c>
      <c r="D173" s="12">
        <v>18.190000000000001</v>
      </c>
      <c r="E173" s="17"/>
      <c r="I173" s="212"/>
      <c r="J173" s="217"/>
      <c r="K173" s="217"/>
      <c r="L173" s="184"/>
    </row>
    <row r="174" spans="1:12" x14ac:dyDescent="0.2">
      <c r="A174" s="10">
        <v>20981</v>
      </c>
      <c r="B174" s="11">
        <v>42633</v>
      </c>
      <c r="C174" s="12">
        <v>96.34</v>
      </c>
      <c r="D174" s="12">
        <v>7.34</v>
      </c>
      <c r="E174" s="17"/>
      <c r="F174" s="18"/>
      <c r="G174" s="19"/>
      <c r="H174" s="12"/>
      <c r="I174" s="212"/>
      <c r="J174" s="217"/>
      <c r="K174" s="217"/>
      <c r="L174" s="184"/>
    </row>
    <row r="175" spans="1:12" x14ac:dyDescent="0.2">
      <c r="A175" s="10">
        <v>20982</v>
      </c>
      <c r="B175" s="11">
        <v>42633</v>
      </c>
      <c r="C175" s="12">
        <v>278.74</v>
      </c>
      <c r="D175" s="12">
        <v>21.24</v>
      </c>
      <c r="E175" s="15" t="s">
        <v>778</v>
      </c>
      <c r="F175" s="21"/>
      <c r="G175" s="22"/>
      <c r="H175" s="10"/>
      <c r="I175" s="212"/>
      <c r="J175" s="217"/>
      <c r="K175" s="217"/>
      <c r="L175" s="184"/>
    </row>
    <row r="176" spans="1:12" x14ac:dyDescent="0.2">
      <c r="A176" s="10">
        <v>20983</v>
      </c>
      <c r="B176" s="11">
        <v>42633</v>
      </c>
      <c r="C176" s="12">
        <v>59.54</v>
      </c>
      <c r="D176" s="12">
        <v>4.54</v>
      </c>
      <c r="E176" s="15" t="s">
        <v>11</v>
      </c>
      <c r="F176" s="20">
        <f>+C169+100+C176+541.25</f>
        <v>707.49</v>
      </c>
      <c r="G176" s="20">
        <f>164.71+469.54</f>
        <v>634.25</v>
      </c>
      <c r="H176" s="114"/>
      <c r="I176" s="212"/>
      <c r="J176" s="217"/>
      <c r="K176" s="217"/>
      <c r="L176" s="184"/>
    </row>
    <row r="177" spans="1:12" x14ac:dyDescent="0.2">
      <c r="A177" s="10">
        <v>20984</v>
      </c>
      <c r="B177" s="11">
        <v>42634</v>
      </c>
      <c r="C177" s="12">
        <v>36.81</v>
      </c>
      <c r="D177" s="12">
        <v>2.81</v>
      </c>
      <c r="E177" s="17"/>
      <c r="H177" s="114"/>
      <c r="I177" s="212"/>
      <c r="J177" s="217"/>
      <c r="K177" s="217"/>
      <c r="L177" s="184"/>
    </row>
    <row r="178" spans="1:12" x14ac:dyDescent="0.2">
      <c r="A178" s="10">
        <v>20985</v>
      </c>
      <c r="B178" s="11">
        <v>42634</v>
      </c>
      <c r="C178" s="12">
        <v>254.93</v>
      </c>
      <c r="D178" s="12">
        <v>19.43</v>
      </c>
      <c r="E178" s="15" t="s">
        <v>533</v>
      </c>
      <c r="I178" s="212"/>
      <c r="J178" s="217"/>
      <c r="K178" s="217"/>
      <c r="L178" s="184"/>
    </row>
    <row r="179" spans="1:12" x14ac:dyDescent="0.2">
      <c r="A179" s="10">
        <v>20986</v>
      </c>
      <c r="B179" s="11">
        <v>42634</v>
      </c>
      <c r="C179" s="12">
        <v>138.15</v>
      </c>
      <c r="D179" s="12"/>
      <c r="E179" s="15" t="s">
        <v>60</v>
      </c>
      <c r="I179" s="212"/>
      <c r="J179" s="217"/>
      <c r="K179" s="217"/>
      <c r="L179" s="184"/>
    </row>
    <row r="180" spans="1:12" x14ac:dyDescent="0.2">
      <c r="A180" s="10">
        <v>20987</v>
      </c>
      <c r="B180" s="11">
        <v>42634</v>
      </c>
      <c r="C180" s="12">
        <v>67.5</v>
      </c>
      <c r="D180" s="12"/>
      <c r="E180" s="15" t="s">
        <v>25</v>
      </c>
      <c r="I180" s="212"/>
      <c r="J180" s="217"/>
      <c r="K180" s="217"/>
      <c r="L180" s="184"/>
    </row>
    <row r="181" spans="1:12" x14ac:dyDescent="0.2">
      <c r="A181" s="10">
        <v>20988</v>
      </c>
      <c r="B181" s="11">
        <v>42634</v>
      </c>
      <c r="C181" s="12">
        <v>56</v>
      </c>
      <c r="D181" s="12"/>
      <c r="E181" s="15" t="s">
        <v>25</v>
      </c>
      <c r="I181" s="212"/>
      <c r="J181" s="217"/>
      <c r="K181" s="217"/>
      <c r="L181" s="184"/>
    </row>
    <row r="182" spans="1:12" x14ac:dyDescent="0.2">
      <c r="A182" s="10">
        <v>20989</v>
      </c>
      <c r="B182" s="11">
        <v>42634</v>
      </c>
      <c r="C182" s="12">
        <v>77.48</v>
      </c>
      <c r="D182" s="12"/>
      <c r="E182" s="15" t="s">
        <v>280</v>
      </c>
      <c r="I182" s="212"/>
      <c r="J182" s="217"/>
      <c r="K182" s="217"/>
      <c r="L182" s="184"/>
    </row>
    <row r="183" spans="1:12" x14ac:dyDescent="0.2">
      <c r="A183" s="10">
        <v>20990</v>
      </c>
      <c r="B183" s="11">
        <v>42634</v>
      </c>
      <c r="C183" s="12">
        <v>108.25</v>
      </c>
      <c r="D183" s="12">
        <v>8.25</v>
      </c>
      <c r="E183" s="15" t="s">
        <v>523</v>
      </c>
      <c r="F183" s="20">
        <f>+C183+254.93</f>
        <v>363.18</v>
      </c>
      <c r="G183" s="20">
        <f>106+221.15</f>
        <v>327.14999999999998</v>
      </c>
      <c r="H183" s="114"/>
      <c r="I183" s="212"/>
      <c r="J183" s="217"/>
      <c r="K183" s="217"/>
      <c r="L183" s="184"/>
    </row>
    <row r="184" spans="1:12" x14ac:dyDescent="0.2">
      <c r="A184" s="10">
        <v>20991</v>
      </c>
      <c r="B184" s="11">
        <v>42635</v>
      </c>
      <c r="C184" s="12">
        <v>15.090000000000002</v>
      </c>
      <c r="D184" s="12"/>
      <c r="E184" s="13" t="s">
        <v>8</v>
      </c>
      <c r="F184" s="12"/>
      <c r="G184" s="12"/>
      <c r="H184" s="191"/>
      <c r="I184" s="184"/>
      <c r="J184" s="184"/>
      <c r="K184" s="214"/>
      <c r="L184" s="184"/>
    </row>
    <row r="185" spans="1:12" x14ac:dyDescent="0.2">
      <c r="A185" s="10">
        <v>20992</v>
      </c>
      <c r="B185" s="11">
        <v>42635</v>
      </c>
      <c r="C185" s="12">
        <v>24.29</v>
      </c>
      <c r="D185" s="12"/>
      <c r="E185" s="13" t="s">
        <v>8</v>
      </c>
      <c r="F185" s="12"/>
      <c r="G185" s="12"/>
      <c r="H185" s="191"/>
      <c r="I185" s="184"/>
      <c r="J185" s="184"/>
      <c r="K185" s="214"/>
      <c r="L185" s="184"/>
    </row>
    <row r="186" spans="1:12" x14ac:dyDescent="0.2">
      <c r="A186" s="10">
        <v>20993</v>
      </c>
      <c r="B186" s="11">
        <v>42635</v>
      </c>
      <c r="C186" s="12">
        <v>14.07</v>
      </c>
      <c r="D186" s="12">
        <v>1.07</v>
      </c>
      <c r="E186" s="17"/>
      <c r="F186" s="185"/>
      <c r="G186" s="185"/>
      <c r="H186" s="185"/>
      <c r="I186" s="77"/>
      <c r="J186" s="77"/>
      <c r="K186" s="220"/>
      <c r="L186" s="184"/>
    </row>
    <row r="187" spans="1:12" x14ac:dyDescent="0.2">
      <c r="A187" s="10">
        <v>20994</v>
      </c>
      <c r="B187" s="11">
        <v>42635</v>
      </c>
      <c r="C187" s="12">
        <v>0</v>
      </c>
      <c r="D187" s="12">
        <v>0</v>
      </c>
      <c r="E187" s="17"/>
      <c r="F187" s="185"/>
      <c r="G187" s="185"/>
      <c r="H187" s="185"/>
      <c r="I187" s="77"/>
      <c r="J187" s="77"/>
      <c r="K187" s="220"/>
      <c r="L187" s="184"/>
    </row>
    <row r="188" spans="1:12" x14ac:dyDescent="0.2">
      <c r="A188" s="10">
        <v>20995</v>
      </c>
      <c r="B188" s="11">
        <v>42635</v>
      </c>
      <c r="C188" s="12">
        <v>41.14</v>
      </c>
      <c r="D188" s="12">
        <v>3.14</v>
      </c>
      <c r="E188" s="17"/>
      <c r="H188" s="185"/>
      <c r="I188" s="77"/>
      <c r="J188" s="77"/>
      <c r="K188" s="220"/>
      <c r="L188" s="184"/>
    </row>
    <row r="189" spans="1:12" x14ac:dyDescent="0.2">
      <c r="A189" s="10">
        <v>20996</v>
      </c>
      <c r="B189" s="11">
        <v>42635</v>
      </c>
      <c r="C189" s="12">
        <v>49.25</v>
      </c>
      <c r="D189" s="12">
        <v>3.75</v>
      </c>
      <c r="E189" s="15" t="s">
        <v>11</v>
      </c>
      <c r="F189" s="21"/>
      <c r="G189" s="22"/>
      <c r="H189" s="183"/>
      <c r="I189" s="183"/>
      <c r="J189" s="77"/>
      <c r="K189" s="220"/>
      <c r="L189" s="184"/>
    </row>
    <row r="190" spans="1:12" x14ac:dyDescent="0.2">
      <c r="A190" s="10">
        <v>20997</v>
      </c>
      <c r="B190" s="11">
        <v>42635</v>
      </c>
      <c r="C190" s="12">
        <v>96.34</v>
      </c>
      <c r="D190" s="12">
        <v>7.34</v>
      </c>
      <c r="E190" s="15" t="s">
        <v>7</v>
      </c>
      <c r="F190" s="21"/>
      <c r="G190" s="22"/>
      <c r="H190" s="183"/>
      <c r="I190" s="183"/>
      <c r="J190" s="77"/>
      <c r="K190" s="220"/>
      <c r="L190" s="184"/>
    </row>
    <row r="191" spans="1:12" x14ac:dyDescent="0.2">
      <c r="A191" s="10">
        <v>20998</v>
      </c>
      <c r="B191" s="11">
        <v>42635</v>
      </c>
      <c r="C191" s="12">
        <v>15.16</v>
      </c>
      <c r="D191" s="12">
        <v>1.1599999999999999</v>
      </c>
      <c r="E191" s="15" t="s">
        <v>7</v>
      </c>
      <c r="F191" s="20">
        <f>+C189+C190+C191</f>
        <v>160.75</v>
      </c>
      <c r="G191" s="20">
        <v>157.71</v>
      </c>
      <c r="H191" s="183"/>
      <c r="I191" s="183"/>
      <c r="J191" s="77"/>
      <c r="K191" s="220"/>
      <c r="L191" s="184"/>
    </row>
    <row r="192" spans="1:12" x14ac:dyDescent="0.2">
      <c r="A192" s="10">
        <v>20999</v>
      </c>
      <c r="B192" s="11">
        <v>42636</v>
      </c>
      <c r="C192" s="12">
        <v>76.86</v>
      </c>
      <c r="D192" s="12">
        <v>5.86</v>
      </c>
      <c r="E192" s="17"/>
      <c r="H192" s="185"/>
      <c r="I192" s="183"/>
      <c r="J192" s="77"/>
      <c r="K192" s="220"/>
      <c r="L192" s="184"/>
    </row>
    <row r="193" spans="1:12" x14ac:dyDescent="0.2">
      <c r="A193" s="10">
        <v>21000</v>
      </c>
      <c r="B193" s="11">
        <v>42636</v>
      </c>
      <c r="C193" s="12">
        <v>34.64</v>
      </c>
      <c r="D193" s="12">
        <v>2.64</v>
      </c>
      <c r="E193" s="17"/>
      <c r="F193" s="18"/>
      <c r="G193" s="19"/>
      <c r="H193" s="185"/>
      <c r="I193" s="183"/>
      <c r="J193" s="77"/>
      <c r="K193" s="220"/>
      <c r="L193" s="184"/>
    </row>
    <row r="194" spans="1:12" x14ac:dyDescent="0.2">
      <c r="A194" s="10">
        <v>21001</v>
      </c>
      <c r="B194" s="11">
        <v>42636</v>
      </c>
      <c r="C194" s="12">
        <v>60</v>
      </c>
      <c r="D194" s="12">
        <v>4.57</v>
      </c>
      <c r="E194" s="17"/>
      <c r="F194" s="18"/>
      <c r="G194" s="19"/>
      <c r="H194" s="185"/>
      <c r="I194" s="183"/>
      <c r="J194" s="77"/>
      <c r="K194" s="220"/>
      <c r="L194" s="184"/>
    </row>
    <row r="195" spans="1:12" x14ac:dyDescent="0.2">
      <c r="A195" s="10">
        <v>21002</v>
      </c>
      <c r="B195" s="11">
        <v>42636</v>
      </c>
      <c r="C195" s="12">
        <v>74.69</v>
      </c>
      <c r="D195" s="12">
        <v>5.69</v>
      </c>
      <c r="E195" s="17"/>
      <c r="F195" s="18"/>
      <c r="G195" s="19"/>
      <c r="H195" s="185"/>
      <c r="I195" s="183"/>
      <c r="J195" s="77"/>
      <c r="K195" s="220"/>
      <c r="L195" s="184"/>
    </row>
    <row r="196" spans="1:12" x14ac:dyDescent="0.2">
      <c r="A196" s="10">
        <v>21003</v>
      </c>
      <c r="B196" s="11">
        <v>42636</v>
      </c>
      <c r="C196" s="12">
        <v>129.9</v>
      </c>
      <c r="D196" s="12">
        <v>9.9</v>
      </c>
      <c r="E196" s="15" t="s">
        <v>11</v>
      </c>
      <c r="F196" s="21"/>
      <c r="G196" s="22"/>
      <c r="H196" s="183"/>
      <c r="I196" s="183"/>
      <c r="J196" s="77"/>
      <c r="K196" s="220"/>
      <c r="L196" s="184"/>
    </row>
    <row r="197" spans="1:12" x14ac:dyDescent="0.2">
      <c r="A197" s="10">
        <v>21004</v>
      </c>
      <c r="B197" s="11">
        <v>42636</v>
      </c>
      <c r="C197" s="12">
        <v>135.31</v>
      </c>
      <c r="D197" s="12">
        <v>10.31</v>
      </c>
      <c r="E197" s="15" t="s">
        <v>7</v>
      </c>
      <c r="F197" s="20">
        <f>200+C196+C197</f>
        <v>465.21</v>
      </c>
      <c r="G197" s="20">
        <v>461.24</v>
      </c>
      <c r="H197" s="183"/>
      <c r="I197" s="183"/>
      <c r="J197" s="77"/>
      <c r="K197" s="220"/>
      <c r="L197" s="184"/>
    </row>
    <row r="198" spans="1:12" x14ac:dyDescent="0.2">
      <c r="A198" s="10">
        <v>21005</v>
      </c>
      <c r="B198" s="11">
        <v>42637</v>
      </c>
      <c r="C198" s="12">
        <v>18.399999999999999</v>
      </c>
      <c r="D198" s="12">
        <v>1.4</v>
      </c>
      <c r="E198" s="15" t="s">
        <v>11</v>
      </c>
      <c r="H198" s="183"/>
      <c r="I198" s="183"/>
      <c r="J198" s="77"/>
      <c r="K198" s="220"/>
      <c r="L198" s="184"/>
    </row>
    <row r="199" spans="1:12" x14ac:dyDescent="0.2">
      <c r="A199" s="10">
        <v>21006</v>
      </c>
      <c r="B199" s="11">
        <v>42637</v>
      </c>
      <c r="C199" s="12">
        <v>186</v>
      </c>
      <c r="D199" s="12"/>
      <c r="E199" s="13" t="s">
        <v>521</v>
      </c>
      <c r="H199" s="185"/>
      <c r="I199" s="183"/>
      <c r="J199" s="77"/>
      <c r="K199" s="220"/>
      <c r="L199" s="184"/>
    </row>
    <row r="200" spans="1:12" x14ac:dyDescent="0.2">
      <c r="A200" s="10">
        <v>21007</v>
      </c>
      <c r="B200" s="11">
        <v>42637</v>
      </c>
      <c r="C200" s="12">
        <v>41.14</v>
      </c>
      <c r="D200" s="12">
        <v>3.14</v>
      </c>
      <c r="E200" s="17"/>
      <c r="F200" s="18"/>
      <c r="G200" s="19"/>
      <c r="H200" s="185"/>
      <c r="I200" s="183"/>
      <c r="J200" s="77"/>
      <c r="K200" s="220"/>
      <c r="L200" s="184"/>
    </row>
    <row r="201" spans="1:12" x14ac:dyDescent="0.2">
      <c r="A201" s="10">
        <v>21008</v>
      </c>
      <c r="B201" s="11">
        <v>42637</v>
      </c>
      <c r="C201" s="12">
        <v>38.700000000000003</v>
      </c>
      <c r="D201" s="12">
        <v>2.95</v>
      </c>
      <c r="E201" s="15" t="s">
        <v>11</v>
      </c>
      <c r="F201" s="21"/>
      <c r="G201" s="22"/>
      <c r="H201" s="183"/>
      <c r="I201" s="183"/>
      <c r="J201" s="77"/>
      <c r="K201" s="220"/>
      <c r="L201" s="184"/>
    </row>
    <row r="202" spans="1:12" x14ac:dyDescent="0.2">
      <c r="A202" s="10">
        <v>21009</v>
      </c>
      <c r="B202" s="11">
        <v>42637</v>
      </c>
      <c r="C202" s="12">
        <v>8.66</v>
      </c>
      <c r="D202" s="12">
        <v>0.66</v>
      </c>
      <c r="E202" s="15" t="s">
        <v>11</v>
      </c>
      <c r="H202" s="183"/>
      <c r="I202" s="183"/>
      <c r="J202" s="77"/>
      <c r="K202" s="220"/>
      <c r="L202" s="184"/>
    </row>
    <row r="203" spans="1:12" x14ac:dyDescent="0.2">
      <c r="A203" s="10">
        <v>21010</v>
      </c>
      <c r="B203" s="11">
        <v>42637</v>
      </c>
      <c r="C203" s="12">
        <v>43.3</v>
      </c>
      <c r="D203" s="12">
        <v>3.3</v>
      </c>
      <c r="E203" s="15" t="s">
        <v>11</v>
      </c>
      <c r="F203" s="21"/>
      <c r="G203" s="22"/>
      <c r="H203" s="183"/>
      <c r="I203" s="183"/>
      <c r="J203" s="77"/>
      <c r="K203" s="220"/>
      <c r="L203" s="184"/>
    </row>
    <row r="204" spans="1:12" x14ac:dyDescent="0.2">
      <c r="A204" s="10">
        <v>21011</v>
      </c>
      <c r="B204" s="11">
        <v>42637</v>
      </c>
      <c r="C204" s="12">
        <v>12.99</v>
      </c>
      <c r="D204" s="12">
        <v>0.99</v>
      </c>
      <c r="E204" s="13"/>
      <c r="F204" s="18"/>
      <c r="G204" s="19"/>
      <c r="H204" s="185"/>
      <c r="I204" s="183"/>
      <c r="J204" s="77"/>
      <c r="K204" s="220"/>
      <c r="L204" s="184"/>
    </row>
    <row r="205" spans="1:12" x14ac:dyDescent="0.2">
      <c r="A205" s="10">
        <v>21012</v>
      </c>
      <c r="B205" s="11">
        <v>42637</v>
      </c>
      <c r="C205" s="12">
        <v>2.11</v>
      </c>
      <c r="D205" s="12">
        <v>0.16</v>
      </c>
      <c r="E205" s="15" t="s">
        <v>11</v>
      </c>
      <c r="H205" s="183"/>
      <c r="I205" s="183"/>
      <c r="J205" s="77"/>
      <c r="K205" s="220"/>
      <c r="L205" s="184"/>
    </row>
    <row r="206" spans="1:12" x14ac:dyDescent="0.2">
      <c r="A206" s="10">
        <v>21013</v>
      </c>
      <c r="B206" s="11">
        <v>42637</v>
      </c>
      <c r="C206" s="12">
        <v>27.06</v>
      </c>
      <c r="D206" s="12">
        <v>2.06</v>
      </c>
      <c r="E206" s="17"/>
      <c r="H206" s="185"/>
      <c r="I206" s="183"/>
      <c r="J206" s="77"/>
      <c r="K206" s="220"/>
      <c r="L206" s="184"/>
    </row>
    <row r="207" spans="1:12" x14ac:dyDescent="0.2">
      <c r="A207" s="10">
        <v>21014</v>
      </c>
      <c r="B207" s="11">
        <v>42637</v>
      </c>
      <c r="C207" s="12">
        <v>30.31</v>
      </c>
      <c r="D207" s="12">
        <v>2.31</v>
      </c>
      <c r="E207" s="17"/>
      <c r="H207" s="185"/>
      <c r="I207" s="183"/>
      <c r="J207" s="77"/>
      <c r="K207" s="220"/>
      <c r="L207" s="184"/>
    </row>
    <row r="208" spans="1:12" x14ac:dyDescent="0.2">
      <c r="A208" s="10">
        <v>21015</v>
      </c>
      <c r="B208" s="11">
        <v>42637</v>
      </c>
      <c r="C208" s="12">
        <v>207.99999999999997</v>
      </c>
      <c r="D208" s="12">
        <v>15.85</v>
      </c>
      <c r="E208" s="13" t="s">
        <v>779</v>
      </c>
      <c r="F208" s="20">
        <f>+C198+C201+C202+C203+C205+26</f>
        <v>137.17000000000002</v>
      </c>
      <c r="G208" s="20">
        <v>134.38999999999999</v>
      </c>
      <c r="H208" s="185"/>
      <c r="I208" s="183"/>
      <c r="J208" s="77"/>
      <c r="K208" s="220"/>
      <c r="L208" s="184"/>
    </row>
    <row r="209" spans="1:12" x14ac:dyDescent="0.2">
      <c r="A209" s="10">
        <v>21016</v>
      </c>
      <c r="B209" s="11">
        <v>42638</v>
      </c>
      <c r="C209" s="12">
        <v>35.67</v>
      </c>
      <c r="D209" s="12">
        <v>2.72</v>
      </c>
      <c r="E209" s="15" t="s">
        <v>7</v>
      </c>
      <c r="F209" s="20">
        <f>+C209</f>
        <v>35.67</v>
      </c>
      <c r="G209" s="20">
        <v>34.799999999999997</v>
      </c>
      <c r="H209" s="183"/>
      <c r="I209" s="183"/>
      <c r="J209" s="77"/>
      <c r="K209" s="220"/>
      <c r="L209" s="184"/>
    </row>
    <row r="210" spans="1:12" x14ac:dyDescent="0.2">
      <c r="A210" s="10">
        <v>21017</v>
      </c>
      <c r="B210" s="11">
        <v>42639</v>
      </c>
      <c r="C210" s="12">
        <v>29.23</v>
      </c>
      <c r="D210" s="12">
        <v>2.23</v>
      </c>
      <c r="E210" s="17"/>
      <c r="H210" s="185"/>
      <c r="I210" s="183"/>
      <c r="J210" s="77"/>
      <c r="K210" s="220"/>
      <c r="L210" s="184"/>
    </row>
    <row r="211" spans="1:12" x14ac:dyDescent="0.2">
      <c r="A211" s="10">
        <v>21018</v>
      </c>
      <c r="B211" s="11">
        <v>42639</v>
      </c>
      <c r="C211" s="12">
        <v>23</v>
      </c>
      <c r="D211" s="12">
        <v>1.75</v>
      </c>
      <c r="E211" s="17"/>
      <c r="F211" s="18"/>
      <c r="G211" s="19"/>
      <c r="H211" s="185"/>
      <c r="I211" s="183"/>
      <c r="J211" s="77"/>
      <c r="K211" s="220"/>
      <c r="L211" s="184"/>
    </row>
    <row r="212" spans="1:12" x14ac:dyDescent="0.2">
      <c r="A212" s="10">
        <v>21019</v>
      </c>
      <c r="B212" s="11">
        <v>42639</v>
      </c>
      <c r="C212" s="12">
        <v>158.05000000000001</v>
      </c>
      <c r="D212" s="12">
        <v>12.05</v>
      </c>
      <c r="E212" s="15" t="s">
        <v>7</v>
      </c>
      <c r="F212" s="21"/>
      <c r="G212" s="22"/>
      <c r="H212" s="183"/>
      <c r="I212" s="183"/>
      <c r="J212" s="77"/>
      <c r="K212" s="220"/>
      <c r="L212" s="184"/>
    </row>
    <row r="213" spans="1:12" x14ac:dyDescent="0.2">
      <c r="A213" s="10">
        <v>21020</v>
      </c>
      <c r="B213" s="11">
        <v>42639</v>
      </c>
      <c r="C213" s="12">
        <v>31.39</v>
      </c>
      <c r="D213" s="12">
        <v>2.39</v>
      </c>
      <c r="E213" s="15" t="s">
        <v>11</v>
      </c>
      <c r="H213" s="183"/>
      <c r="I213" s="183"/>
      <c r="J213" s="77"/>
      <c r="K213" s="220"/>
      <c r="L213" s="184"/>
    </row>
    <row r="214" spans="1:12" x14ac:dyDescent="0.2">
      <c r="A214" s="10">
        <v>21021</v>
      </c>
      <c r="B214" s="11">
        <v>42639</v>
      </c>
      <c r="C214" s="12">
        <v>51</v>
      </c>
      <c r="D214" s="12"/>
      <c r="E214" s="13" t="s">
        <v>77</v>
      </c>
      <c r="H214" s="185"/>
      <c r="I214" s="183"/>
      <c r="J214" s="77"/>
      <c r="K214" s="220"/>
      <c r="L214" s="184"/>
    </row>
    <row r="215" spans="1:12" x14ac:dyDescent="0.2">
      <c r="A215" s="10">
        <v>21022</v>
      </c>
      <c r="B215" s="11">
        <v>42639</v>
      </c>
      <c r="C215" s="12">
        <v>27.28</v>
      </c>
      <c r="D215" s="12">
        <v>2.08</v>
      </c>
      <c r="E215" s="15" t="s">
        <v>11</v>
      </c>
      <c r="F215" s="21"/>
      <c r="G215" s="22"/>
      <c r="H215" s="183"/>
      <c r="I215" s="183"/>
      <c r="J215" s="77"/>
      <c r="K215" s="220"/>
      <c r="L215" s="184"/>
    </row>
    <row r="216" spans="1:12" x14ac:dyDescent="0.2">
      <c r="A216" s="10">
        <v>21023</v>
      </c>
      <c r="B216" s="11">
        <v>42639</v>
      </c>
      <c r="C216" s="12">
        <v>25</v>
      </c>
      <c r="D216" s="12"/>
      <c r="E216" s="15" t="s">
        <v>417</v>
      </c>
      <c r="F216" s="20">
        <f>+C212+C213+C215+C216</f>
        <v>241.72</v>
      </c>
      <c r="G216" s="20">
        <v>236.46</v>
      </c>
      <c r="H216" s="183"/>
      <c r="I216" s="183"/>
      <c r="J216" s="77"/>
      <c r="K216" s="220"/>
      <c r="L216" s="184"/>
    </row>
    <row r="217" spans="1:12" x14ac:dyDescent="0.2">
      <c r="A217" s="10">
        <v>21024</v>
      </c>
      <c r="B217" s="11">
        <v>42640</v>
      </c>
      <c r="C217" s="12">
        <v>20</v>
      </c>
      <c r="D217" s="12">
        <v>1.52</v>
      </c>
      <c r="E217" s="15" t="s">
        <v>11</v>
      </c>
      <c r="F217" s="21"/>
      <c r="G217" s="22"/>
      <c r="H217" s="183"/>
      <c r="I217" s="183"/>
      <c r="J217" s="77"/>
      <c r="K217" s="220"/>
      <c r="L217" s="184"/>
    </row>
    <row r="218" spans="1:12" x14ac:dyDescent="0.2">
      <c r="A218" s="10">
        <v>21025</v>
      </c>
      <c r="B218" s="11">
        <v>42640</v>
      </c>
      <c r="C218" s="12">
        <v>308</v>
      </c>
      <c r="D218" s="12"/>
      <c r="E218" s="15" t="s">
        <v>25</v>
      </c>
      <c r="H218" s="183"/>
      <c r="I218" s="183"/>
      <c r="J218" s="77"/>
      <c r="K218" s="220"/>
      <c r="L218" s="184"/>
    </row>
    <row r="219" spans="1:12" x14ac:dyDescent="0.2">
      <c r="A219" s="10">
        <v>21026</v>
      </c>
      <c r="B219" s="11">
        <v>42640</v>
      </c>
      <c r="C219" s="12">
        <v>390.24</v>
      </c>
      <c r="D219" s="12">
        <v>29.74</v>
      </c>
      <c r="E219" s="13" t="s">
        <v>780</v>
      </c>
      <c r="H219" s="185"/>
      <c r="I219" s="183"/>
      <c r="J219" s="77"/>
      <c r="K219" s="220"/>
      <c r="L219" s="184"/>
    </row>
    <row r="220" spans="1:12" x14ac:dyDescent="0.2">
      <c r="A220" s="10">
        <v>21027</v>
      </c>
      <c r="B220" s="11">
        <v>42640</v>
      </c>
      <c r="C220" s="12"/>
      <c r="D220" s="12"/>
      <c r="E220" s="15" t="s">
        <v>26</v>
      </c>
      <c r="F220" s="21"/>
      <c r="G220" s="22"/>
      <c r="H220" s="183"/>
      <c r="I220" s="183"/>
      <c r="J220" s="77"/>
      <c r="K220" s="220"/>
      <c r="L220" s="184"/>
    </row>
    <row r="221" spans="1:12" x14ac:dyDescent="0.2">
      <c r="A221" s="10">
        <v>21028</v>
      </c>
      <c r="B221" s="11">
        <v>42640</v>
      </c>
      <c r="C221" s="12"/>
      <c r="D221" s="12"/>
      <c r="E221" s="15" t="s">
        <v>26</v>
      </c>
      <c r="F221" s="21"/>
      <c r="G221" s="22"/>
      <c r="H221" s="183"/>
      <c r="I221" s="183"/>
      <c r="J221" s="77"/>
      <c r="K221" s="220"/>
      <c r="L221" s="184"/>
    </row>
    <row r="222" spans="1:12" x14ac:dyDescent="0.2">
      <c r="A222" s="10">
        <v>21029</v>
      </c>
      <c r="B222" s="11">
        <v>42640</v>
      </c>
      <c r="C222" s="12"/>
      <c r="D222" s="12"/>
      <c r="E222" s="15" t="s">
        <v>26</v>
      </c>
      <c r="F222" s="21"/>
      <c r="G222" s="22"/>
      <c r="H222" s="183"/>
      <c r="I222" s="183"/>
      <c r="J222" s="77"/>
      <c r="K222" s="220"/>
      <c r="L222" s="184"/>
    </row>
    <row r="223" spans="1:12" x14ac:dyDescent="0.2">
      <c r="A223" s="10">
        <v>21030</v>
      </c>
      <c r="B223" s="11">
        <v>42640</v>
      </c>
      <c r="C223" s="12">
        <v>5379.36</v>
      </c>
      <c r="D223" s="12">
        <v>295.66000000000003</v>
      </c>
      <c r="E223" s="15" t="s">
        <v>781</v>
      </c>
      <c r="H223" s="183"/>
      <c r="I223" s="183"/>
      <c r="J223" s="77"/>
      <c r="K223" s="220"/>
      <c r="L223" s="184"/>
    </row>
    <row r="224" spans="1:12" x14ac:dyDescent="0.2">
      <c r="A224" s="10">
        <v>21031</v>
      </c>
      <c r="B224" s="11">
        <v>42640</v>
      </c>
      <c r="C224" s="12"/>
      <c r="D224" s="12"/>
      <c r="E224" s="15" t="s">
        <v>21</v>
      </c>
      <c r="H224" s="183"/>
      <c r="I224" s="183"/>
      <c r="J224" s="77"/>
      <c r="K224" s="220"/>
      <c r="L224" s="184"/>
    </row>
    <row r="225" spans="1:12" x14ac:dyDescent="0.2">
      <c r="A225" s="10">
        <v>21032</v>
      </c>
      <c r="B225" s="11">
        <v>42640</v>
      </c>
      <c r="C225" s="12">
        <v>120</v>
      </c>
      <c r="D225" s="12">
        <v>9.15</v>
      </c>
      <c r="E225" s="15" t="s">
        <v>533</v>
      </c>
      <c r="I225" s="183"/>
      <c r="J225" s="77"/>
      <c r="K225" s="220"/>
      <c r="L225" s="184"/>
    </row>
    <row r="226" spans="1:12" x14ac:dyDescent="0.2">
      <c r="A226" s="10">
        <v>21033</v>
      </c>
      <c r="B226" s="11">
        <v>42640</v>
      </c>
      <c r="C226" s="12">
        <v>50.28</v>
      </c>
      <c r="D226" s="12">
        <v>3.83</v>
      </c>
      <c r="E226" s="15" t="s">
        <v>7</v>
      </c>
      <c r="F226" s="20">
        <f>+C217+C226+120</f>
        <v>190.28</v>
      </c>
      <c r="G226" s="20">
        <f>68.89+104.1</f>
        <v>172.99</v>
      </c>
      <c r="H226" s="232"/>
      <c r="I226" s="183"/>
      <c r="J226" s="77"/>
      <c r="K226" s="220"/>
      <c r="L226" s="184"/>
    </row>
    <row r="227" spans="1:12" x14ac:dyDescent="0.2">
      <c r="A227" s="10">
        <v>21034</v>
      </c>
      <c r="B227" s="11">
        <v>42641</v>
      </c>
      <c r="C227" s="12">
        <v>10.77</v>
      </c>
      <c r="D227" s="12">
        <v>0.82</v>
      </c>
      <c r="E227" s="15" t="s">
        <v>11</v>
      </c>
      <c r="F227" s="21"/>
      <c r="G227" s="22"/>
      <c r="H227" s="183"/>
      <c r="I227" s="183"/>
      <c r="J227" s="77"/>
      <c r="K227" s="220"/>
      <c r="L227" s="184"/>
    </row>
    <row r="228" spans="1:12" x14ac:dyDescent="0.2">
      <c r="A228" s="10">
        <v>21035</v>
      </c>
      <c r="B228" s="11">
        <v>42641</v>
      </c>
      <c r="C228" s="12">
        <v>104.46</v>
      </c>
      <c r="D228" s="12">
        <v>7.96</v>
      </c>
      <c r="E228" s="15" t="s">
        <v>11</v>
      </c>
      <c r="H228" s="183"/>
      <c r="I228" s="183"/>
      <c r="J228" s="77"/>
      <c r="K228" s="220"/>
      <c r="L228" s="184"/>
    </row>
    <row r="229" spans="1:12" x14ac:dyDescent="0.2">
      <c r="A229" s="10">
        <v>21036</v>
      </c>
      <c r="B229" s="11">
        <v>42641</v>
      </c>
      <c r="C229" s="12">
        <v>19.600000000000001</v>
      </c>
      <c r="D229" s="12"/>
      <c r="E229" s="13" t="s">
        <v>8</v>
      </c>
      <c r="H229" s="185"/>
      <c r="I229" s="183"/>
      <c r="J229" s="77"/>
      <c r="K229" s="220"/>
      <c r="L229" s="184"/>
    </row>
    <row r="230" spans="1:12" x14ac:dyDescent="0.2">
      <c r="A230" s="10">
        <v>21037</v>
      </c>
      <c r="B230" s="11">
        <v>42641</v>
      </c>
      <c r="C230" s="12">
        <v>37.69</v>
      </c>
      <c r="D230" s="12"/>
      <c r="E230" s="15" t="s">
        <v>16</v>
      </c>
      <c r="F230" s="21"/>
      <c r="G230" s="22"/>
      <c r="H230" s="183"/>
      <c r="I230" s="183"/>
      <c r="J230" s="77"/>
      <c r="K230" s="220"/>
      <c r="L230" s="184"/>
    </row>
    <row r="231" spans="1:12" x14ac:dyDescent="0.2">
      <c r="A231" s="10">
        <v>21038</v>
      </c>
      <c r="B231" s="11">
        <v>42641</v>
      </c>
      <c r="C231" s="12">
        <v>-42.43</v>
      </c>
      <c r="D231" s="12">
        <v>-3.23</v>
      </c>
      <c r="E231" s="15" t="s">
        <v>11</v>
      </c>
      <c r="H231" s="183"/>
      <c r="I231" s="183"/>
      <c r="J231" s="77"/>
      <c r="K231" s="220"/>
      <c r="L231" s="184"/>
    </row>
    <row r="232" spans="1:12" x14ac:dyDescent="0.2">
      <c r="A232" s="10">
        <v>21039</v>
      </c>
      <c r="B232" s="11">
        <v>42641</v>
      </c>
      <c r="C232" s="12">
        <v>8.61</v>
      </c>
      <c r="D232" s="12">
        <v>0.66</v>
      </c>
      <c r="E232" s="15" t="s">
        <v>7</v>
      </c>
      <c r="H232" s="183"/>
      <c r="I232" s="183"/>
      <c r="J232" s="77"/>
      <c r="K232" s="220"/>
      <c r="L232" s="184"/>
    </row>
    <row r="233" spans="1:12" x14ac:dyDescent="0.2">
      <c r="A233" s="10">
        <v>21040</v>
      </c>
      <c r="B233" s="11">
        <v>42641</v>
      </c>
      <c r="C233" s="12">
        <v>121.24</v>
      </c>
      <c r="D233" s="12">
        <v>9.24</v>
      </c>
      <c r="E233" s="17"/>
      <c r="H233" s="185"/>
      <c r="I233" s="183"/>
      <c r="J233" s="77"/>
      <c r="K233" s="220"/>
      <c r="L233" s="184"/>
    </row>
    <row r="234" spans="1:12" x14ac:dyDescent="0.2">
      <c r="A234" s="10">
        <v>21041</v>
      </c>
      <c r="B234" s="11">
        <v>42641</v>
      </c>
      <c r="C234" s="12">
        <v>0</v>
      </c>
      <c r="D234" s="12">
        <v>0</v>
      </c>
      <c r="E234" s="17"/>
      <c r="F234" s="20">
        <f>+C227+C228+77.48+C231+C232</f>
        <v>158.88999999999999</v>
      </c>
      <c r="G234" s="20">
        <v>156.91</v>
      </c>
      <c r="H234" s="185"/>
      <c r="I234" s="183"/>
      <c r="J234" s="77"/>
      <c r="K234" s="220"/>
      <c r="L234" s="184"/>
    </row>
    <row r="235" spans="1:12" x14ac:dyDescent="0.2">
      <c r="A235" s="10">
        <v>21042</v>
      </c>
      <c r="B235" s="11">
        <v>42642</v>
      </c>
      <c r="C235" s="12">
        <v>21.65</v>
      </c>
      <c r="D235" s="12">
        <v>1.65</v>
      </c>
      <c r="E235" s="15" t="s">
        <v>11</v>
      </c>
      <c r="H235" s="183"/>
      <c r="I235" s="183"/>
      <c r="J235" s="77"/>
      <c r="K235" s="220"/>
      <c r="L235" s="184"/>
    </row>
    <row r="236" spans="1:12" x14ac:dyDescent="0.2">
      <c r="A236" s="10">
        <v>21043</v>
      </c>
      <c r="B236" s="11">
        <v>42642</v>
      </c>
      <c r="C236" s="12">
        <v>5.41</v>
      </c>
      <c r="D236" s="12">
        <v>0.41</v>
      </c>
      <c r="E236" s="15" t="s">
        <v>11</v>
      </c>
      <c r="F236" s="21"/>
      <c r="G236" s="22"/>
      <c r="H236" s="183"/>
      <c r="I236" s="183"/>
      <c r="J236" s="77"/>
      <c r="K236" s="220"/>
      <c r="L236" s="184"/>
    </row>
    <row r="237" spans="1:12" x14ac:dyDescent="0.2">
      <c r="A237" s="10">
        <v>21044</v>
      </c>
      <c r="B237" s="11">
        <v>42642</v>
      </c>
      <c r="C237" s="12">
        <v>79</v>
      </c>
      <c r="D237" s="12"/>
      <c r="E237" s="15" t="s">
        <v>782</v>
      </c>
      <c r="F237" s="21"/>
      <c r="G237" s="22"/>
      <c r="H237" s="183"/>
      <c r="I237" s="183"/>
      <c r="J237" s="77"/>
      <c r="K237" s="220"/>
      <c r="L237" s="184"/>
    </row>
    <row r="238" spans="1:12" x14ac:dyDescent="0.2">
      <c r="A238" s="10">
        <v>21045</v>
      </c>
      <c r="B238" s="11">
        <v>42642</v>
      </c>
      <c r="C238" s="12">
        <v>169</v>
      </c>
      <c r="D238" s="12">
        <v>12.88</v>
      </c>
      <c r="E238" s="17"/>
      <c r="F238" s="18"/>
      <c r="G238" s="19"/>
      <c r="H238" s="185"/>
      <c r="I238" s="183"/>
      <c r="J238" s="77"/>
      <c r="K238" s="220"/>
      <c r="L238" s="184"/>
    </row>
    <row r="239" spans="1:12" x14ac:dyDescent="0.2">
      <c r="A239" s="10">
        <v>21046</v>
      </c>
      <c r="B239" s="11">
        <v>42642</v>
      </c>
      <c r="C239" s="12">
        <v>117.99</v>
      </c>
      <c r="D239" s="12">
        <v>8.99</v>
      </c>
      <c r="E239" s="15" t="s">
        <v>533</v>
      </c>
      <c r="F239" s="183"/>
      <c r="G239" s="183"/>
      <c r="H239" s="212"/>
      <c r="I239" s="188"/>
      <c r="J239" s="184"/>
      <c r="K239" s="214"/>
      <c r="L239" s="184"/>
    </row>
    <row r="240" spans="1:12" x14ac:dyDescent="0.2">
      <c r="A240" s="10">
        <v>21047</v>
      </c>
      <c r="B240" s="11">
        <v>42642</v>
      </c>
      <c r="C240" s="12">
        <v>92.04</v>
      </c>
      <c r="D240" s="12"/>
      <c r="E240" s="15" t="s">
        <v>60</v>
      </c>
    </row>
    <row r="241" spans="1:9" x14ac:dyDescent="0.2">
      <c r="A241" s="10">
        <v>21048</v>
      </c>
      <c r="B241" s="11">
        <v>42642</v>
      </c>
      <c r="C241" s="12">
        <v>96.34</v>
      </c>
      <c r="D241" s="12">
        <v>7.34</v>
      </c>
      <c r="E241" s="15" t="s">
        <v>11</v>
      </c>
      <c r="I241" s="10"/>
    </row>
    <row r="242" spans="1:9" x14ac:dyDescent="0.2">
      <c r="A242" s="10">
        <v>21049</v>
      </c>
      <c r="B242" s="11">
        <v>42642</v>
      </c>
      <c r="C242" s="12">
        <v>203.6</v>
      </c>
      <c r="D242" s="12"/>
      <c r="E242" s="15" t="s">
        <v>21</v>
      </c>
      <c r="F242" s="21"/>
      <c r="G242" s="22"/>
      <c r="H242" s="183"/>
      <c r="I242" s="10"/>
    </row>
    <row r="243" spans="1:9" x14ac:dyDescent="0.2">
      <c r="A243" s="10">
        <v>21050</v>
      </c>
      <c r="B243" s="11">
        <v>42642</v>
      </c>
      <c r="C243" s="12">
        <v>339.91</v>
      </c>
      <c r="D243" s="12">
        <v>25.91</v>
      </c>
      <c r="E243" s="15" t="s">
        <v>7</v>
      </c>
      <c r="I243" s="10"/>
    </row>
    <row r="244" spans="1:9" x14ac:dyDescent="0.2">
      <c r="A244" s="10">
        <v>21051</v>
      </c>
      <c r="B244" s="11">
        <v>42642</v>
      </c>
      <c r="C244" s="12">
        <v>104</v>
      </c>
      <c r="D244" s="12"/>
      <c r="E244" s="15" t="s">
        <v>25</v>
      </c>
      <c r="I244" s="10"/>
    </row>
    <row r="245" spans="1:9" x14ac:dyDescent="0.2">
      <c r="A245" s="10">
        <v>21052</v>
      </c>
      <c r="B245" s="11">
        <v>42642</v>
      </c>
      <c r="C245" s="12">
        <v>358.31</v>
      </c>
      <c r="D245" s="12">
        <v>27.31</v>
      </c>
      <c r="E245" s="15" t="s">
        <v>533</v>
      </c>
      <c r="I245" s="10"/>
    </row>
    <row r="246" spans="1:9" x14ac:dyDescent="0.2">
      <c r="A246" s="10">
        <v>21053</v>
      </c>
      <c r="B246" s="11">
        <v>42642</v>
      </c>
      <c r="C246" s="12">
        <v>43.3</v>
      </c>
      <c r="D246" s="12">
        <v>3.3</v>
      </c>
      <c r="E246" s="15" t="s">
        <v>11</v>
      </c>
      <c r="I246" s="10"/>
    </row>
    <row r="247" spans="1:9" x14ac:dyDescent="0.2">
      <c r="A247" s="10">
        <v>21054</v>
      </c>
      <c r="B247" s="11">
        <v>42642</v>
      </c>
      <c r="C247" s="12">
        <v>86.399999999999991</v>
      </c>
      <c r="D247" s="12"/>
      <c r="E247" s="15" t="s">
        <v>25</v>
      </c>
      <c r="F247" s="20">
        <f>+C235+C236+C241+C243+C246+476.3</f>
        <v>982.91000000000008</v>
      </c>
      <c r="G247" s="20">
        <f>498.25+413.2</f>
        <v>911.45</v>
      </c>
      <c r="H247" s="232"/>
      <c r="I247" s="10"/>
    </row>
    <row r="248" spans="1:9" x14ac:dyDescent="0.2">
      <c r="A248" s="10">
        <v>21055</v>
      </c>
      <c r="B248" s="11">
        <v>42643</v>
      </c>
      <c r="C248" s="12">
        <v>54.13</v>
      </c>
      <c r="D248" s="12">
        <v>4.13</v>
      </c>
      <c r="E248" s="15" t="s">
        <v>11</v>
      </c>
      <c r="F248" s="207"/>
      <c r="G248" s="207"/>
      <c r="H248" s="183"/>
      <c r="I248" s="10"/>
    </row>
    <row r="249" spans="1:9" x14ac:dyDescent="0.2">
      <c r="A249" s="10">
        <v>21056</v>
      </c>
      <c r="B249" s="11">
        <v>42643</v>
      </c>
      <c r="C249" s="12">
        <v>20.57</v>
      </c>
      <c r="D249" s="12">
        <v>1.57</v>
      </c>
      <c r="E249" s="17"/>
      <c r="H249" s="185"/>
      <c r="I249" s="10"/>
    </row>
    <row r="250" spans="1:9" x14ac:dyDescent="0.2">
      <c r="A250" s="10">
        <v>21057</v>
      </c>
      <c r="B250" s="11">
        <v>42643</v>
      </c>
      <c r="C250" s="12">
        <v>125</v>
      </c>
      <c r="D250" s="12"/>
      <c r="E250" s="15" t="s">
        <v>21</v>
      </c>
      <c r="H250" s="183"/>
      <c r="I250" s="10"/>
    </row>
    <row r="251" spans="1:9" x14ac:dyDescent="0.2">
      <c r="A251" s="10">
        <v>21058</v>
      </c>
      <c r="B251" s="11">
        <v>42643</v>
      </c>
      <c r="C251" s="12">
        <v>380</v>
      </c>
      <c r="D251" s="12"/>
      <c r="E251" s="15" t="s">
        <v>783</v>
      </c>
      <c r="H251" s="183"/>
      <c r="I251" s="10"/>
    </row>
    <row r="252" spans="1:9" x14ac:dyDescent="0.2">
      <c r="A252" s="10">
        <v>21059</v>
      </c>
      <c r="B252" s="11">
        <v>42643</v>
      </c>
      <c r="C252" s="12"/>
      <c r="D252" s="12"/>
      <c r="E252" s="15" t="s">
        <v>432</v>
      </c>
      <c r="F252" s="21"/>
      <c r="G252" s="22"/>
      <c r="H252" s="183"/>
      <c r="I252" s="10"/>
    </row>
    <row r="253" spans="1:9" x14ac:dyDescent="0.2">
      <c r="A253" s="10">
        <v>21060</v>
      </c>
      <c r="B253" s="11">
        <v>42643</v>
      </c>
      <c r="C253" s="12">
        <v>161.29</v>
      </c>
      <c r="D253" s="12">
        <v>12.29</v>
      </c>
      <c r="E253" s="15" t="s">
        <v>11</v>
      </c>
      <c r="H253" s="183"/>
      <c r="I253" s="10"/>
    </row>
    <row r="254" spans="1:9" x14ac:dyDescent="0.2">
      <c r="A254" s="10">
        <v>21061</v>
      </c>
      <c r="B254" s="11">
        <v>42643</v>
      </c>
      <c r="C254" s="12">
        <v>28</v>
      </c>
      <c r="D254" s="12">
        <v>2.14</v>
      </c>
      <c r="E254" s="15" t="s">
        <v>533</v>
      </c>
      <c r="F254" s="21"/>
      <c r="G254" s="22"/>
      <c r="H254" s="183"/>
      <c r="I254" s="10"/>
    </row>
    <row r="255" spans="1:9" x14ac:dyDescent="0.2">
      <c r="A255" s="10">
        <v>21062</v>
      </c>
      <c r="B255" s="11">
        <v>42643</v>
      </c>
      <c r="C255" s="12">
        <v>7.04</v>
      </c>
      <c r="D255" s="12">
        <v>0.54</v>
      </c>
      <c r="E255" s="17"/>
      <c r="I255" s="10"/>
    </row>
    <row r="256" spans="1:9" x14ac:dyDescent="0.2">
      <c r="A256" s="10">
        <v>21063</v>
      </c>
      <c r="B256" s="11">
        <v>42643</v>
      </c>
      <c r="C256" s="12">
        <v>8.66</v>
      </c>
      <c r="D256" s="12">
        <v>0.66</v>
      </c>
      <c r="E256" s="15" t="s">
        <v>11</v>
      </c>
      <c r="I256" s="10"/>
    </row>
    <row r="257" spans="1:13" x14ac:dyDescent="0.2">
      <c r="A257" s="10">
        <v>21064</v>
      </c>
      <c r="B257" s="11">
        <v>42643</v>
      </c>
      <c r="C257" s="12">
        <v>385.1</v>
      </c>
      <c r="D257" s="12">
        <v>29.35</v>
      </c>
      <c r="E257" s="15" t="s">
        <v>533</v>
      </c>
      <c r="I257" s="10"/>
    </row>
    <row r="258" spans="1:13" x14ac:dyDescent="0.2">
      <c r="A258" s="10">
        <v>21065</v>
      </c>
      <c r="B258" s="11">
        <v>42643</v>
      </c>
      <c r="C258" s="12">
        <v>86</v>
      </c>
      <c r="D258" s="12">
        <v>6.55</v>
      </c>
      <c r="E258" s="15" t="s">
        <v>533</v>
      </c>
      <c r="I258" s="10"/>
    </row>
    <row r="259" spans="1:13" x14ac:dyDescent="0.2">
      <c r="A259" s="10">
        <v>21066</v>
      </c>
      <c r="B259" s="11">
        <v>42643</v>
      </c>
      <c r="C259" s="12">
        <v>16.18</v>
      </c>
      <c r="D259" s="12">
        <v>1.23</v>
      </c>
      <c r="E259" s="17"/>
      <c r="F259" s="20">
        <f>+C248+C251+C253+C256+114</f>
        <v>718.07999999999993</v>
      </c>
      <c r="G259" s="20">
        <f>590.81+98.89</f>
        <v>689.69999999999993</v>
      </c>
      <c r="H259" s="232"/>
      <c r="I259" s="10"/>
    </row>
    <row r="260" spans="1:13" x14ac:dyDescent="0.2">
      <c r="E260" s="26"/>
      <c r="F260" s="77"/>
      <c r="G260" s="77"/>
      <c r="H260" s="207"/>
      <c r="I260" s="183"/>
      <c r="J260" s="77"/>
      <c r="K260" s="220"/>
      <c r="L260" s="184"/>
      <c r="M260" s="77"/>
    </row>
    <row r="261" spans="1:13" x14ac:dyDescent="0.2">
      <c r="E261" s="26"/>
      <c r="F261" s="77"/>
      <c r="G261" s="77"/>
      <c r="H261" s="215"/>
      <c r="I261" s="213">
        <f ca="1">H1-WEEKDAY(H1,3)-7</f>
        <v>43171</v>
      </c>
      <c r="J261" s="214" t="e">
        <f t="shared" ref="J261:J274" ca="1" si="0">SUMIF(INDIRECT(TEXT(I261,"'mmm-yy'")&amp;"!B3:B400"),I261,INDIRECT(TEXT(I261,"'mmm-yy'")&amp;"!C3:C400"))</f>
        <v>#REF!</v>
      </c>
      <c r="K261" s="184"/>
      <c r="L261" s="184"/>
      <c r="M261" s="77"/>
    </row>
    <row r="262" spans="1:13" x14ac:dyDescent="0.2">
      <c r="E262" s="26"/>
      <c r="F262" s="77"/>
      <c r="G262" s="77"/>
      <c r="H262" s="215"/>
      <c r="I262" s="213">
        <f t="shared" ref="I262:I274" ca="1" si="1">I261+1</f>
        <v>43172</v>
      </c>
      <c r="J262" s="214" t="e">
        <f t="shared" ca="1" si="0"/>
        <v>#REF!</v>
      </c>
      <c r="K262" s="184"/>
      <c r="L262" s="184"/>
      <c r="M262" s="77"/>
    </row>
    <row r="263" spans="1:13" x14ac:dyDescent="0.2">
      <c r="E263" s="26"/>
      <c r="F263" s="77"/>
      <c r="G263" s="77"/>
      <c r="H263" s="212"/>
      <c r="I263" s="213">
        <f t="shared" ca="1" si="1"/>
        <v>43173</v>
      </c>
      <c r="J263" s="214" t="e">
        <f t="shared" ca="1" si="0"/>
        <v>#REF!</v>
      </c>
      <c r="K263" s="184"/>
      <c r="L263" s="184"/>
      <c r="M263" s="77"/>
    </row>
    <row r="264" spans="1:13" x14ac:dyDescent="0.2">
      <c r="E264" s="26"/>
      <c r="F264" s="77"/>
      <c r="G264" s="77"/>
      <c r="H264" s="212"/>
      <c r="I264" s="213">
        <f t="shared" ca="1" si="1"/>
        <v>43174</v>
      </c>
      <c r="J264" s="214" t="e">
        <f t="shared" ca="1" si="0"/>
        <v>#REF!</v>
      </c>
      <c r="K264" s="184"/>
      <c r="L264" s="184"/>
      <c r="M264" s="77"/>
    </row>
    <row r="265" spans="1:13" x14ac:dyDescent="0.2">
      <c r="E265" s="26"/>
      <c r="F265" s="77"/>
      <c r="G265" s="77"/>
      <c r="H265" s="215"/>
      <c r="I265" s="213">
        <f t="shared" ca="1" si="1"/>
        <v>43175</v>
      </c>
      <c r="J265" s="214" t="e">
        <f t="shared" ca="1" si="0"/>
        <v>#REF!</v>
      </c>
      <c r="K265" s="184"/>
      <c r="L265" s="184"/>
      <c r="M265" s="77"/>
    </row>
    <row r="266" spans="1:13" x14ac:dyDescent="0.2">
      <c r="E266" s="26"/>
      <c r="F266" s="77"/>
      <c r="G266" s="77"/>
      <c r="H266" s="215"/>
      <c r="I266" s="213">
        <f t="shared" ca="1" si="1"/>
        <v>43176</v>
      </c>
      <c r="J266" s="214" t="e">
        <f t="shared" ca="1" si="0"/>
        <v>#REF!</v>
      </c>
      <c r="K266" s="184"/>
      <c r="L266" s="184"/>
      <c r="M266" s="77"/>
    </row>
    <row r="267" spans="1:13" x14ac:dyDescent="0.2">
      <c r="E267" s="26"/>
      <c r="F267" s="77"/>
      <c r="G267" s="77"/>
      <c r="H267" s="212"/>
      <c r="I267" s="213">
        <f t="shared" ca="1" si="1"/>
        <v>43177</v>
      </c>
      <c r="J267" s="214" t="e">
        <f t="shared" ca="1" si="0"/>
        <v>#REF!</v>
      </c>
      <c r="K267" s="214" t="e">
        <f ca="1">SUM(J261:J267)</f>
        <v>#REF!</v>
      </c>
      <c r="L267" s="184"/>
      <c r="M267" s="77"/>
    </row>
    <row r="268" spans="1:13" x14ac:dyDescent="0.2">
      <c r="E268" s="26"/>
      <c r="F268" s="77"/>
      <c r="G268" s="77"/>
      <c r="H268" s="215"/>
      <c r="I268" s="213">
        <f t="shared" ca="1" si="1"/>
        <v>43178</v>
      </c>
      <c r="J268" s="214" t="e">
        <f t="shared" ca="1" si="0"/>
        <v>#REF!</v>
      </c>
      <c r="K268" s="214"/>
      <c r="L268" s="184"/>
      <c r="M268" s="77"/>
    </row>
    <row r="269" spans="1:13" x14ac:dyDescent="0.2">
      <c r="E269" s="26"/>
      <c r="F269" s="77"/>
      <c r="G269" s="77"/>
      <c r="H269" s="215"/>
      <c r="I269" s="213">
        <f t="shared" ca="1" si="1"/>
        <v>43179</v>
      </c>
      <c r="J269" s="214" t="e">
        <f t="shared" ca="1" si="0"/>
        <v>#REF!</v>
      </c>
      <c r="K269" s="214"/>
      <c r="L269" s="184"/>
      <c r="M269" s="77"/>
    </row>
    <row r="270" spans="1:13" x14ac:dyDescent="0.2">
      <c r="E270" s="26"/>
      <c r="F270" s="77"/>
      <c r="G270" s="77"/>
      <c r="H270" s="215"/>
      <c r="I270" s="213">
        <f t="shared" ca="1" si="1"/>
        <v>43180</v>
      </c>
      <c r="J270" s="214" t="e">
        <f t="shared" ca="1" si="0"/>
        <v>#REF!</v>
      </c>
      <c r="K270" s="214"/>
      <c r="L270" s="184"/>
      <c r="M270" s="77"/>
    </row>
    <row r="271" spans="1:13" x14ac:dyDescent="0.2">
      <c r="E271" s="26"/>
      <c r="F271" s="77"/>
      <c r="G271" s="77"/>
      <c r="H271" s="215"/>
      <c r="I271" s="213">
        <f t="shared" ca="1" si="1"/>
        <v>43181</v>
      </c>
      <c r="J271" s="214" t="e">
        <f t="shared" ca="1" si="0"/>
        <v>#REF!</v>
      </c>
      <c r="K271" s="214"/>
      <c r="L271" s="184"/>
      <c r="M271" s="77"/>
    </row>
    <row r="272" spans="1:13" x14ac:dyDescent="0.2">
      <c r="E272" s="26"/>
      <c r="F272" s="77"/>
      <c r="G272" s="77"/>
      <c r="H272" s="215"/>
      <c r="I272" s="213">
        <f t="shared" ca="1" si="1"/>
        <v>43182</v>
      </c>
      <c r="J272" s="214" t="e">
        <f t="shared" ca="1" si="0"/>
        <v>#REF!</v>
      </c>
      <c r="K272" s="214"/>
      <c r="L272" s="184"/>
      <c r="M272" s="77"/>
    </row>
    <row r="273" spans="5:13" x14ac:dyDescent="0.2">
      <c r="E273" s="26"/>
      <c r="F273" s="77"/>
      <c r="G273" s="77"/>
      <c r="H273" s="215"/>
      <c r="I273" s="213">
        <f t="shared" ca="1" si="1"/>
        <v>43183</v>
      </c>
      <c r="J273" s="214" t="e">
        <f t="shared" ca="1" si="0"/>
        <v>#REF!</v>
      </c>
      <c r="K273" s="214"/>
      <c r="L273" s="184"/>
      <c r="M273" s="77"/>
    </row>
    <row r="274" spans="5:13" x14ac:dyDescent="0.2">
      <c r="E274" s="26"/>
      <c r="F274" s="77"/>
      <c r="G274" s="77"/>
      <c r="H274" s="216"/>
      <c r="I274" s="213">
        <f t="shared" ca="1" si="1"/>
        <v>43184</v>
      </c>
      <c r="J274" s="214" t="e">
        <f t="shared" ca="1" si="0"/>
        <v>#REF!</v>
      </c>
      <c r="K274" s="214" t="e">
        <f ca="1">SUM(J268:J274)</f>
        <v>#REF!</v>
      </c>
      <c r="L274" s="184"/>
      <c r="M274" s="77"/>
    </row>
    <row r="275" spans="5:13" x14ac:dyDescent="0.2">
      <c r="E275" s="26"/>
      <c r="F275" s="77"/>
      <c r="G275" s="77"/>
      <c r="H275" s="216"/>
      <c r="I275" s="217"/>
      <c r="J275" s="214" t="e">
        <f ca="1">+J268+J269+J270+J271+J272</f>
        <v>#REF!</v>
      </c>
      <c r="K275" s="184"/>
      <c r="L275" s="184"/>
      <c r="M275" s="77"/>
    </row>
    <row r="276" spans="5:13" x14ac:dyDescent="0.2">
      <c r="E276" s="26"/>
      <c r="F276" s="77"/>
      <c r="G276" s="77"/>
      <c r="H276" s="216"/>
      <c r="I276" s="217"/>
      <c r="J276" s="214"/>
      <c r="K276" s="184"/>
      <c r="L276" s="184"/>
      <c r="M276" s="77"/>
    </row>
    <row r="277" spans="5:13" x14ac:dyDescent="0.2">
      <c r="E277" s="26"/>
      <c r="H277" s="216"/>
      <c r="I277" s="217"/>
      <c r="J277" s="217"/>
      <c r="K277" s="184"/>
      <c r="L277" s="184"/>
      <c r="M277" s="77"/>
    </row>
    <row r="278" spans="5:13" x14ac:dyDescent="0.2">
      <c r="E278" s="26"/>
      <c r="H278" s="216"/>
      <c r="I278" s="217"/>
      <c r="J278" s="217"/>
      <c r="K278" s="184"/>
      <c r="L278" s="184"/>
      <c r="M278" s="77"/>
    </row>
    <row r="279" spans="5:13" x14ac:dyDescent="0.2">
      <c r="E279" s="26"/>
      <c r="H279" s="85"/>
      <c r="I279" s="77"/>
      <c r="J279" s="77"/>
      <c r="K279" s="77"/>
      <c r="L279" s="184"/>
      <c r="M279" s="77"/>
    </row>
    <row r="280" spans="5:13" x14ac:dyDescent="0.2">
      <c r="E280" s="26"/>
      <c r="H280" s="85"/>
      <c r="I280" s="77"/>
      <c r="J280" s="77"/>
      <c r="K280" s="77"/>
      <c r="L280" s="77"/>
      <c r="M280" s="77"/>
    </row>
    <row r="281" spans="5:13" x14ac:dyDescent="0.2">
      <c r="E281" s="26"/>
      <c r="H281" s="85"/>
      <c r="I281" s="77"/>
      <c r="J281" s="77"/>
      <c r="K281" s="77"/>
      <c r="L281" s="77"/>
      <c r="M281" s="77"/>
    </row>
    <row r="282" spans="5:13" x14ac:dyDescent="0.2">
      <c r="E282" s="26"/>
      <c r="H282" s="85"/>
      <c r="I282" s="77"/>
      <c r="J282" s="77"/>
      <c r="K282" s="77"/>
      <c r="L282" s="77"/>
      <c r="M282" s="77"/>
    </row>
    <row r="283" spans="5:13" x14ac:dyDescent="0.2">
      <c r="E283" s="26"/>
      <c r="H283" s="85"/>
      <c r="I283" s="77"/>
      <c r="J283" s="77"/>
      <c r="K283" s="77"/>
      <c r="L283" s="77"/>
      <c r="M283" s="77"/>
    </row>
    <row r="284" spans="5:13" x14ac:dyDescent="0.2">
      <c r="E284" s="26"/>
      <c r="H284" s="85"/>
      <c r="I284" s="77"/>
      <c r="J284" s="77"/>
      <c r="K284" s="77"/>
      <c r="L284" s="77"/>
      <c r="M284" s="77"/>
    </row>
    <row r="285" spans="5:13" x14ac:dyDescent="0.2">
      <c r="E285" s="26"/>
      <c r="H285" s="85"/>
      <c r="I285" s="77"/>
      <c r="J285" s="77"/>
      <c r="K285" s="77"/>
      <c r="L285" s="77"/>
      <c r="M285" s="77"/>
    </row>
    <row r="286" spans="5:13" x14ac:dyDescent="0.2">
      <c r="E286" s="26"/>
    </row>
    <row r="287" spans="5:13" x14ac:dyDescent="0.2">
      <c r="E287" s="26"/>
    </row>
    <row r="288" spans="5:13" x14ac:dyDescent="0.2">
      <c r="E288" s="26"/>
    </row>
    <row r="289" spans="1:10" x14ac:dyDescent="0.2">
      <c r="E289" s="26"/>
    </row>
    <row r="290" spans="1:10" x14ac:dyDescent="0.2">
      <c r="E290" s="26"/>
    </row>
    <row r="291" spans="1:10" s="29" customFormat="1" x14ac:dyDescent="0.2">
      <c r="A291" s="4"/>
      <c r="B291" s="11"/>
      <c r="C291" s="25"/>
      <c r="D291" s="4"/>
      <c r="E291" s="26"/>
      <c r="F291" s="4"/>
      <c r="G291" s="4"/>
      <c r="H291" s="25"/>
      <c r="I291" s="4"/>
      <c r="J291" s="4"/>
    </row>
    <row r="292" spans="1:10" s="29" customFormat="1" x14ac:dyDescent="0.2">
      <c r="A292" s="4"/>
      <c r="B292" s="11"/>
      <c r="C292" s="25"/>
      <c r="D292" s="4"/>
      <c r="E292" s="26"/>
      <c r="F292" s="4"/>
      <c r="G292" s="4"/>
      <c r="H292" s="25"/>
      <c r="I292" s="4"/>
      <c r="J292" s="4"/>
    </row>
    <row r="293" spans="1:10" x14ac:dyDescent="0.2">
      <c r="E293" s="26"/>
    </row>
    <row r="294" spans="1:10" x14ac:dyDescent="0.2">
      <c r="E294" s="26"/>
    </row>
    <row r="295" spans="1:10" x14ac:dyDescent="0.2">
      <c r="E295" s="26"/>
    </row>
    <row r="296" spans="1:10" x14ac:dyDescent="0.2">
      <c r="E296" s="26"/>
    </row>
    <row r="297" spans="1:10" x14ac:dyDescent="0.2">
      <c r="A297" s="29"/>
      <c r="B297" s="30"/>
      <c r="C297" s="31"/>
      <c r="D297" s="29"/>
      <c r="E297" s="32"/>
      <c r="F297" s="29"/>
      <c r="G297" s="29"/>
      <c r="H297" s="31"/>
      <c r="I297" s="29"/>
      <c r="J297" s="29"/>
    </row>
    <row r="298" spans="1:10" x14ac:dyDescent="0.2">
      <c r="A298" s="29"/>
      <c r="B298" s="30"/>
      <c r="C298" s="31"/>
      <c r="D298" s="29"/>
      <c r="E298" s="32"/>
      <c r="F298" s="29"/>
      <c r="G298" s="29"/>
      <c r="H298" s="31"/>
      <c r="I298" s="29"/>
      <c r="J298" s="29"/>
    </row>
    <row r="299" spans="1:10" x14ac:dyDescent="0.2">
      <c r="E299" s="26"/>
    </row>
    <row r="300" spans="1:10" x14ac:dyDescent="0.2">
      <c r="E300" s="26"/>
    </row>
    <row r="301" spans="1:10" x14ac:dyDescent="0.2">
      <c r="E301" s="26"/>
    </row>
    <row r="302" spans="1:10" x14ac:dyDescent="0.2">
      <c r="E302" s="26"/>
    </row>
    <row r="303" spans="1:10" x14ac:dyDescent="0.2">
      <c r="E303" s="26"/>
    </row>
    <row r="304" spans="1:10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3285"/>
  <sheetViews>
    <sheetView topLeftCell="A221" workbookViewId="0">
      <selection activeCell="A269" sqref="A269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0" width="9.140625" style="4"/>
    <col min="11" max="11" width="9.7109375" style="4" bestFit="1" customWidth="1"/>
    <col min="12" max="16384" width="9.140625" style="4"/>
  </cols>
  <sheetData>
    <row r="1" spans="1:10" x14ac:dyDescent="0.2">
      <c r="A1" s="160" t="s">
        <v>0</v>
      </c>
      <c r="B1" s="2"/>
      <c r="C1" s="3">
        <f>SUM(C3:C467)</f>
        <v>29068.280000000024</v>
      </c>
      <c r="D1" s="3">
        <f>SUM(D3:D467)</f>
        <v>1885.3100000000004</v>
      </c>
      <c r="F1" s="166">
        <f>SUM(F3:F3671)</f>
        <v>13122.2</v>
      </c>
      <c r="G1" s="166">
        <f>SUM(G3:G3671)</f>
        <v>12402.222429999996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21067</v>
      </c>
      <c r="B3" s="11">
        <v>42644</v>
      </c>
      <c r="C3" s="12">
        <v>245</v>
      </c>
      <c r="D3" s="12">
        <v>18.670000000000002</v>
      </c>
      <c r="E3" s="13"/>
      <c r="F3" s="12"/>
      <c r="G3" s="12"/>
      <c r="H3" s="12"/>
    </row>
    <row r="4" spans="1:10" x14ac:dyDescent="0.2">
      <c r="A4" s="10">
        <v>21068</v>
      </c>
      <c r="B4" s="11">
        <v>42644</v>
      </c>
      <c r="C4" s="12"/>
      <c r="D4" s="12"/>
      <c r="E4" s="13" t="s">
        <v>784</v>
      </c>
      <c r="F4" s="12"/>
      <c r="G4" s="12"/>
      <c r="H4" s="12"/>
    </row>
    <row r="5" spans="1:10" x14ac:dyDescent="0.2">
      <c r="A5" s="10">
        <v>21069</v>
      </c>
      <c r="B5" s="11">
        <v>42644</v>
      </c>
      <c r="C5" s="12">
        <v>26.95</v>
      </c>
      <c r="D5" s="12">
        <v>2.0499999999999998</v>
      </c>
      <c r="E5" s="15" t="s">
        <v>11</v>
      </c>
      <c r="F5" s="10"/>
      <c r="G5" s="10"/>
      <c r="H5" s="10"/>
      <c r="I5" s="10"/>
    </row>
    <row r="6" spans="1:10" x14ac:dyDescent="0.2">
      <c r="A6" s="10">
        <v>21070</v>
      </c>
      <c r="B6" s="11">
        <v>42644</v>
      </c>
      <c r="C6" s="12">
        <v>59.999999999999993</v>
      </c>
      <c r="D6" s="12">
        <v>4.57</v>
      </c>
      <c r="E6" s="13"/>
      <c r="F6" s="12"/>
      <c r="G6" s="12"/>
      <c r="H6" s="12"/>
      <c r="I6" s="10"/>
    </row>
    <row r="7" spans="1:10" x14ac:dyDescent="0.2">
      <c r="A7" s="10">
        <v>21071</v>
      </c>
      <c r="B7" s="11">
        <v>42644</v>
      </c>
      <c r="C7" s="12">
        <v>17.32</v>
      </c>
      <c r="D7" s="12">
        <v>1.32</v>
      </c>
      <c r="E7" s="13"/>
      <c r="F7" s="12"/>
      <c r="G7" s="12"/>
      <c r="H7" s="12"/>
      <c r="I7" s="10"/>
    </row>
    <row r="8" spans="1:10" x14ac:dyDescent="0.2">
      <c r="A8" s="10">
        <v>21072</v>
      </c>
      <c r="B8" s="11">
        <v>42644</v>
      </c>
      <c r="C8" s="12">
        <v>123.41</v>
      </c>
      <c r="D8" s="12">
        <v>9.41</v>
      </c>
      <c r="E8" s="13"/>
      <c r="F8" s="12"/>
      <c r="G8" s="12"/>
      <c r="H8" s="12"/>
      <c r="I8" s="10"/>
    </row>
    <row r="9" spans="1:10" x14ac:dyDescent="0.2">
      <c r="A9" s="10">
        <v>21073</v>
      </c>
      <c r="B9" s="11">
        <v>42644</v>
      </c>
      <c r="C9" s="12">
        <v>54.12</v>
      </c>
      <c r="D9" s="12">
        <v>4.12</v>
      </c>
      <c r="E9" s="15" t="s">
        <v>533</v>
      </c>
      <c r="I9" s="10"/>
    </row>
    <row r="10" spans="1:10" x14ac:dyDescent="0.2">
      <c r="A10" s="10">
        <v>21074</v>
      </c>
      <c r="B10" s="11">
        <v>42644</v>
      </c>
      <c r="C10" s="12">
        <v>21.54</v>
      </c>
      <c r="D10" s="12">
        <v>1.64</v>
      </c>
      <c r="E10" s="15" t="s">
        <v>11</v>
      </c>
      <c r="I10" s="10"/>
    </row>
    <row r="11" spans="1:10" x14ac:dyDescent="0.2">
      <c r="A11" s="10">
        <v>21075</v>
      </c>
      <c r="B11" s="11">
        <v>42644</v>
      </c>
      <c r="C11" s="12">
        <v>178.61</v>
      </c>
      <c r="D11" s="12">
        <v>13.61</v>
      </c>
      <c r="E11" s="15"/>
      <c r="F11" s="20">
        <f>+C5+C10+323.93</f>
        <v>372.42</v>
      </c>
      <c r="G11" s="20">
        <f>47.55+281.01</f>
        <v>328.56</v>
      </c>
      <c r="H11" s="232"/>
      <c r="I11" s="10"/>
    </row>
    <row r="12" spans="1:10" x14ac:dyDescent="0.2">
      <c r="A12" s="10">
        <v>21076</v>
      </c>
      <c r="B12" s="11">
        <v>42646</v>
      </c>
      <c r="C12" s="12">
        <v>37.830000000000005</v>
      </c>
      <c r="D12" s="12">
        <v>2.88</v>
      </c>
      <c r="E12" s="15" t="s">
        <v>533</v>
      </c>
      <c r="F12" s="21"/>
      <c r="G12" s="22"/>
      <c r="H12" s="183"/>
      <c r="I12" s="10"/>
    </row>
    <row r="13" spans="1:10" x14ac:dyDescent="0.2">
      <c r="A13" s="10">
        <v>21077</v>
      </c>
      <c r="B13" s="11">
        <v>42646</v>
      </c>
      <c r="C13" s="12">
        <v>-18.349999999999998</v>
      </c>
      <c r="D13" s="12">
        <v>-1.4</v>
      </c>
      <c r="E13" s="17"/>
      <c r="I13" s="10"/>
    </row>
    <row r="14" spans="1:10" x14ac:dyDescent="0.2">
      <c r="A14" s="10">
        <v>21078</v>
      </c>
      <c r="B14" s="11">
        <v>42646</v>
      </c>
      <c r="C14" s="12">
        <v>468.72</v>
      </c>
      <c r="D14" s="12">
        <v>35.72</v>
      </c>
      <c r="E14" s="15" t="s">
        <v>785</v>
      </c>
      <c r="I14" s="10"/>
    </row>
    <row r="15" spans="1:10" x14ac:dyDescent="0.2">
      <c r="A15" s="10">
        <v>21079</v>
      </c>
      <c r="B15" s="11">
        <v>42646</v>
      </c>
      <c r="C15" s="12">
        <v>64.95</v>
      </c>
      <c r="D15" s="12">
        <v>4.95</v>
      </c>
      <c r="E15" s="15" t="s">
        <v>786</v>
      </c>
      <c r="I15" s="10"/>
    </row>
    <row r="16" spans="1:10" x14ac:dyDescent="0.2">
      <c r="A16" s="10">
        <v>21080</v>
      </c>
      <c r="B16" s="11">
        <v>42646</v>
      </c>
      <c r="C16" s="12">
        <v>43.3</v>
      </c>
      <c r="D16" s="12">
        <v>3.3</v>
      </c>
      <c r="E16" s="15" t="s">
        <v>11</v>
      </c>
      <c r="F16" s="21"/>
      <c r="G16" s="22"/>
      <c r="H16" s="183"/>
      <c r="I16" s="10"/>
    </row>
    <row r="17" spans="1:9" x14ac:dyDescent="0.2">
      <c r="A17" s="10">
        <v>21081</v>
      </c>
      <c r="B17" s="11">
        <v>42646</v>
      </c>
      <c r="C17" s="12">
        <v>29.23</v>
      </c>
      <c r="D17" s="12">
        <v>2.23</v>
      </c>
      <c r="E17" s="13"/>
      <c r="F17" s="18"/>
      <c r="G17" s="19"/>
      <c r="H17" s="185"/>
      <c r="I17" s="10"/>
    </row>
    <row r="18" spans="1:9" x14ac:dyDescent="0.2">
      <c r="A18" s="10">
        <v>21082</v>
      </c>
      <c r="B18" s="11">
        <v>42646</v>
      </c>
      <c r="C18" s="12">
        <v>8.66</v>
      </c>
      <c r="D18" s="12">
        <v>0.66</v>
      </c>
      <c r="E18" s="13"/>
      <c r="F18" s="18"/>
      <c r="G18" s="19"/>
      <c r="H18" s="185"/>
      <c r="I18" s="10"/>
    </row>
    <row r="19" spans="1:9" x14ac:dyDescent="0.2">
      <c r="A19" s="10">
        <v>21083</v>
      </c>
      <c r="B19" s="11">
        <v>42646</v>
      </c>
      <c r="C19" s="12">
        <v>424.34000000000003</v>
      </c>
      <c r="D19" s="12">
        <v>32.340000000000003</v>
      </c>
      <c r="E19" s="15" t="s">
        <v>787</v>
      </c>
      <c r="I19" s="10"/>
    </row>
    <row r="20" spans="1:9" x14ac:dyDescent="0.2">
      <c r="A20" s="10">
        <v>21084</v>
      </c>
      <c r="B20" s="11">
        <v>42646</v>
      </c>
      <c r="C20" s="12">
        <v>117.99</v>
      </c>
      <c r="D20" s="12">
        <v>8.99</v>
      </c>
      <c r="E20" s="13" t="s">
        <v>788</v>
      </c>
      <c r="F20" s="20">
        <f>+C16+200+80+672.93</f>
        <v>996.23</v>
      </c>
      <c r="G20" s="20">
        <f>320.99+583.76</f>
        <v>904.75</v>
      </c>
      <c r="H20" s="232"/>
      <c r="I20" s="10"/>
    </row>
    <row r="21" spans="1:9" x14ac:dyDescent="0.2">
      <c r="A21" s="10">
        <v>21085</v>
      </c>
      <c r="B21" s="11">
        <v>42647</v>
      </c>
      <c r="C21" s="12">
        <v>167.25</v>
      </c>
      <c r="D21" s="12">
        <v>12.75</v>
      </c>
      <c r="E21" s="13" t="s">
        <v>789</v>
      </c>
      <c r="H21" s="185"/>
      <c r="I21" s="10"/>
    </row>
    <row r="22" spans="1:9" x14ac:dyDescent="0.2">
      <c r="A22" s="10">
        <v>21086</v>
      </c>
      <c r="B22" s="11">
        <v>42647</v>
      </c>
      <c r="C22" s="12">
        <v>403.77</v>
      </c>
      <c r="D22" s="12">
        <v>30.77</v>
      </c>
      <c r="E22" s="15" t="s">
        <v>533</v>
      </c>
      <c r="F22" s="21"/>
      <c r="G22" s="22"/>
      <c r="H22" s="183"/>
      <c r="I22" s="10"/>
    </row>
    <row r="23" spans="1:9" x14ac:dyDescent="0.2">
      <c r="A23" s="10">
        <v>21087</v>
      </c>
      <c r="B23" s="11">
        <v>42647</v>
      </c>
      <c r="C23" s="12">
        <v>200</v>
      </c>
      <c r="D23" s="12"/>
      <c r="E23" s="13" t="s">
        <v>790</v>
      </c>
      <c r="H23" s="185"/>
      <c r="I23" s="10"/>
    </row>
    <row r="24" spans="1:9" x14ac:dyDescent="0.2">
      <c r="A24" s="10">
        <v>21088</v>
      </c>
      <c r="B24" s="11">
        <v>42647</v>
      </c>
      <c r="C24" s="12">
        <v>93.04</v>
      </c>
      <c r="D24" s="12">
        <v>7.09</v>
      </c>
      <c r="E24" s="15"/>
      <c r="F24" s="21"/>
      <c r="G24" s="22"/>
      <c r="H24" s="183"/>
      <c r="I24" s="10"/>
    </row>
    <row r="25" spans="1:9" x14ac:dyDescent="0.2">
      <c r="A25" s="10">
        <v>21089</v>
      </c>
      <c r="B25" s="11">
        <v>42647</v>
      </c>
      <c r="C25" s="12">
        <v>92.15</v>
      </c>
      <c r="D25" s="12"/>
      <c r="E25" s="15" t="s">
        <v>441</v>
      </c>
      <c r="F25" s="21"/>
      <c r="G25" s="22"/>
      <c r="H25" s="183"/>
      <c r="I25" s="10"/>
    </row>
    <row r="26" spans="1:9" x14ac:dyDescent="0.2">
      <c r="A26" s="10">
        <v>21090</v>
      </c>
      <c r="B26" s="11">
        <v>42647</v>
      </c>
      <c r="C26" s="12">
        <v>110</v>
      </c>
      <c r="D26" s="12"/>
      <c r="E26" s="15" t="s">
        <v>791</v>
      </c>
      <c r="F26" s="20">
        <f>67.25+97.99</f>
        <v>165.24</v>
      </c>
      <c r="G26" s="20">
        <v>164.04</v>
      </c>
      <c r="H26" s="232"/>
      <c r="I26" s="10"/>
    </row>
    <row r="27" spans="1:9" x14ac:dyDescent="0.2">
      <c r="A27" s="10">
        <v>21091</v>
      </c>
      <c r="B27" s="11">
        <v>42648</v>
      </c>
      <c r="C27" s="12">
        <v>20</v>
      </c>
      <c r="D27" s="12">
        <v>1.52</v>
      </c>
      <c r="E27" s="17"/>
      <c r="I27" s="10"/>
    </row>
    <row r="28" spans="1:9" x14ac:dyDescent="0.2">
      <c r="A28" s="10">
        <v>21092</v>
      </c>
      <c r="B28" s="11">
        <v>42648</v>
      </c>
      <c r="C28" s="12">
        <v>67.12</v>
      </c>
      <c r="D28" s="12">
        <v>5.12</v>
      </c>
      <c r="E28" s="13" t="s">
        <v>792</v>
      </c>
      <c r="I28" s="10"/>
    </row>
    <row r="29" spans="1:9" x14ac:dyDescent="0.2">
      <c r="A29" s="10">
        <v>21093</v>
      </c>
      <c r="B29" s="11">
        <v>42648</v>
      </c>
      <c r="C29" s="12">
        <v>117.99</v>
      </c>
      <c r="D29" s="12">
        <v>8.99</v>
      </c>
      <c r="E29" s="15" t="s">
        <v>533</v>
      </c>
      <c r="I29" s="10"/>
    </row>
    <row r="30" spans="1:9" x14ac:dyDescent="0.2">
      <c r="A30" s="10">
        <v>21094</v>
      </c>
      <c r="B30" s="11">
        <v>42648</v>
      </c>
      <c r="C30" s="12">
        <v>21.65</v>
      </c>
      <c r="D30" s="12">
        <v>1.65</v>
      </c>
      <c r="E30" s="17"/>
      <c r="I30" s="10"/>
    </row>
    <row r="31" spans="1:9" x14ac:dyDescent="0.2">
      <c r="A31" s="10">
        <v>21095</v>
      </c>
      <c r="B31" s="11">
        <v>42648</v>
      </c>
      <c r="C31" s="12">
        <v>23.82</v>
      </c>
      <c r="D31" s="12">
        <v>1.82</v>
      </c>
      <c r="E31" s="15" t="s">
        <v>533</v>
      </c>
      <c r="I31" s="10"/>
    </row>
    <row r="32" spans="1:9" x14ac:dyDescent="0.2">
      <c r="A32" s="10">
        <v>21096</v>
      </c>
      <c r="B32" s="11">
        <v>42648</v>
      </c>
      <c r="C32" s="12">
        <v>23.27</v>
      </c>
      <c r="D32" s="12">
        <v>1.77</v>
      </c>
      <c r="E32" s="17"/>
      <c r="F32" s="18"/>
      <c r="G32" s="19"/>
      <c r="H32" s="185"/>
      <c r="I32" s="10"/>
    </row>
    <row r="33" spans="1:23" x14ac:dyDescent="0.2">
      <c r="A33" s="10">
        <v>21097</v>
      </c>
      <c r="B33" s="11">
        <v>42648</v>
      </c>
      <c r="C33" s="12">
        <v>163.6</v>
      </c>
      <c r="D33" s="12"/>
      <c r="E33" s="15" t="s">
        <v>441</v>
      </c>
      <c r="I33" s="10"/>
    </row>
    <row r="34" spans="1:23" x14ac:dyDescent="0.2">
      <c r="A34" s="10">
        <v>21098</v>
      </c>
      <c r="B34" s="11">
        <v>42648</v>
      </c>
      <c r="C34" s="12">
        <v>148.30000000000001</v>
      </c>
      <c r="D34" s="12">
        <v>11.3</v>
      </c>
      <c r="E34" s="15" t="s">
        <v>11</v>
      </c>
      <c r="F34" s="21"/>
      <c r="G34" s="22"/>
      <c r="H34" s="183"/>
      <c r="I34" s="10"/>
    </row>
    <row r="35" spans="1:23" x14ac:dyDescent="0.2">
      <c r="A35" s="10">
        <v>21099</v>
      </c>
      <c r="B35" s="11">
        <v>42648</v>
      </c>
      <c r="C35" s="12"/>
      <c r="D35" s="12"/>
      <c r="E35" s="13"/>
      <c r="I35" s="10"/>
    </row>
    <row r="36" spans="1:23" x14ac:dyDescent="0.2">
      <c r="A36" s="10">
        <v>21100</v>
      </c>
      <c r="B36" s="11">
        <v>42648</v>
      </c>
      <c r="C36" s="12">
        <v>865</v>
      </c>
      <c r="D36" s="12">
        <v>68.150000000000006</v>
      </c>
      <c r="E36" s="15"/>
      <c r="F36" s="20">
        <f>+C34+545.58</f>
        <v>693.88000000000011</v>
      </c>
      <c r="G36" s="20">
        <f>147.48+473.29</f>
        <v>620.77</v>
      </c>
      <c r="H36" s="232"/>
      <c r="I36" s="10"/>
    </row>
    <row r="37" spans="1:23" x14ac:dyDescent="0.2">
      <c r="A37" s="10">
        <v>21101</v>
      </c>
      <c r="B37" s="11">
        <v>42649</v>
      </c>
      <c r="C37" s="12">
        <v>29.23</v>
      </c>
      <c r="D37" s="12">
        <v>2.23</v>
      </c>
      <c r="E37" s="17"/>
      <c r="F37" s="18"/>
      <c r="G37" s="19"/>
      <c r="H37" s="185"/>
      <c r="I37" s="10"/>
    </row>
    <row r="38" spans="1:23" x14ac:dyDescent="0.2">
      <c r="A38" s="10">
        <v>21102</v>
      </c>
      <c r="B38" s="11">
        <v>42649</v>
      </c>
      <c r="C38" s="12">
        <v>10.77</v>
      </c>
      <c r="D38" s="12">
        <v>0.82</v>
      </c>
      <c r="E38" s="17"/>
      <c r="F38" s="18"/>
      <c r="G38" s="19"/>
      <c r="H38" s="185"/>
      <c r="I38" s="10"/>
    </row>
    <row r="39" spans="1:23" x14ac:dyDescent="0.2">
      <c r="A39" s="10">
        <v>21103</v>
      </c>
      <c r="B39" s="11">
        <v>42649</v>
      </c>
      <c r="C39" s="12">
        <v>56.29</v>
      </c>
      <c r="D39" s="12">
        <v>4.29</v>
      </c>
      <c r="E39" s="17"/>
      <c r="H39" s="185"/>
      <c r="I39" s="10"/>
    </row>
    <row r="40" spans="1:23" x14ac:dyDescent="0.2">
      <c r="A40" s="10">
        <v>21104</v>
      </c>
      <c r="B40" s="11">
        <v>42649</v>
      </c>
      <c r="C40" s="12">
        <v>162.38</v>
      </c>
      <c r="D40" s="12">
        <v>12.38</v>
      </c>
      <c r="E40" s="15" t="s">
        <v>11</v>
      </c>
      <c r="H40" s="183"/>
      <c r="I40" s="10"/>
    </row>
    <row r="41" spans="1:23" x14ac:dyDescent="0.2">
      <c r="A41" s="10">
        <v>21105</v>
      </c>
      <c r="B41" s="11">
        <v>42649</v>
      </c>
      <c r="C41" s="12">
        <v>194.85</v>
      </c>
      <c r="D41" s="12">
        <v>14.85</v>
      </c>
      <c r="E41" s="17"/>
      <c r="F41" s="18"/>
      <c r="G41" s="19"/>
      <c r="H41" s="185"/>
      <c r="I41" s="10"/>
    </row>
    <row r="42" spans="1:23" x14ac:dyDescent="0.2">
      <c r="A42" s="10">
        <v>21106</v>
      </c>
      <c r="B42" s="11">
        <v>42649</v>
      </c>
      <c r="C42" s="12">
        <v>103.27000000000001</v>
      </c>
      <c r="D42" s="12">
        <v>7.87</v>
      </c>
      <c r="E42" s="15" t="s">
        <v>11</v>
      </c>
      <c r="F42" s="21"/>
      <c r="G42" s="22"/>
      <c r="H42" s="183"/>
      <c r="I42" s="10"/>
    </row>
    <row r="43" spans="1:23" x14ac:dyDescent="0.2">
      <c r="A43" s="10">
        <v>21107</v>
      </c>
      <c r="B43" s="11">
        <v>42649</v>
      </c>
      <c r="C43" s="12">
        <v>247.35</v>
      </c>
      <c r="D43" s="12">
        <v>18.850000000000001</v>
      </c>
      <c r="E43" s="13" t="s">
        <v>793</v>
      </c>
      <c r="H43" s="185"/>
      <c r="I43" s="10"/>
    </row>
    <row r="44" spans="1:23" x14ac:dyDescent="0.2">
      <c r="A44" s="10">
        <v>21108</v>
      </c>
      <c r="B44" s="11">
        <v>42649</v>
      </c>
      <c r="C44" s="12">
        <v>7.58</v>
      </c>
      <c r="D44" s="12">
        <v>0.57999999999999996</v>
      </c>
      <c r="E44" s="15" t="s">
        <v>11</v>
      </c>
      <c r="H44" s="183"/>
      <c r="I44" s="10"/>
    </row>
    <row r="45" spans="1:23" x14ac:dyDescent="0.2">
      <c r="A45" s="10">
        <v>21109</v>
      </c>
      <c r="B45" s="11">
        <v>42649</v>
      </c>
      <c r="C45" s="12">
        <v>10.83</v>
      </c>
      <c r="D45" s="12">
        <v>0.83</v>
      </c>
      <c r="E45" s="15" t="s">
        <v>7</v>
      </c>
      <c r="F45" s="21"/>
      <c r="G45" s="22"/>
      <c r="H45" s="183"/>
      <c r="I45" s="10"/>
    </row>
    <row r="46" spans="1:23" x14ac:dyDescent="0.2">
      <c r="A46" s="10">
        <v>21110</v>
      </c>
      <c r="B46" s="11">
        <v>42649</v>
      </c>
      <c r="C46" s="12">
        <v>79.02</v>
      </c>
      <c r="D46" s="12">
        <v>6.02</v>
      </c>
      <c r="E46" s="15" t="s">
        <v>794</v>
      </c>
      <c r="F46" s="20">
        <f>+C42+C44+C45+C40</f>
        <v>284.06</v>
      </c>
      <c r="G46" s="20">
        <v>281.81</v>
      </c>
      <c r="H46" s="183"/>
      <c r="I46" s="10"/>
    </row>
    <row r="47" spans="1:23" x14ac:dyDescent="0.2">
      <c r="A47" s="10">
        <v>21111</v>
      </c>
      <c r="B47" s="11">
        <v>42650</v>
      </c>
      <c r="C47" s="12">
        <v>12</v>
      </c>
      <c r="D47" s="12"/>
      <c r="E47" s="15" t="s">
        <v>795</v>
      </c>
      <c r="H47" s="183"/>
      <c r="I47" s="10"/>
    </row>
    <row r="48" spans="1:23" x14ac:dyDescent="0.2">
      <c r="A48" s="10">
        <v>21112</v>
      </c>
      <c r="B48" s="11">
        <v>42650</v>
      </c>
      <c r="C48" s="12">
        <v>18.399999999999999</v>
      </c>
      <c r="D48" s="12">
        <v>1.4</v>
      </c>
      <c r="E48" s="15" t="s">
        <v>11</v>
      </c>
      <c r="F48" s="16"/>
      <c r="G48" s="16"/>
      <c r="H48" s="16"/>
      <c r="I48" s="16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x14ac:dyDescent="0.2">
      <c r="A49" s="10">
        <v>21113</v>
      </c>
      <c r="B49" s="11">
        <v>42650</v>
      </c>
      <c r="C49" s="12">
        <v>9</v>
      </c>
      <c r="D49" s="12"/>
      <c r="E49" s="15" t="s">
        <v>7</v>
      </c>
      <c r="F49" s="16"/>
      <c r="G49" s="16"/>
      <c r="H49" s="16"/>
      <c r="I49" s="16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x14ac:dyDescent="0.2">
      <c r="A50" s="10">
        <v>21114</v>
      </c>
      <c r="B50" s="11">
        <v>42650</v>
      </c>
      <c r="C50" s="12">
        <v>111.5</v>
      </c>
      <c r="D50" s="12">
        <v>8.5</v>
      </c>
      <c r="E50" s="15" t="s">
        <v>533</v>
      </c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 x14ac:dyDescent="0.2">
      <c r="A51" s="10">
        <v>21115</v>
      </c>
      <c r="B51" s="11">
        <v>42650</v>
      </c>
      <c r="C51" s="12">
        <v>20</v>
      </c>
      <c r="D51" s="12">
        <v>1.52</v>
      </c>
      <c r="E51" s="17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x14ac:dyDescent="0.2">
      <c r="A52" s="10">
        <v>21116</v>
      </c>
      <c r="B52" s="11">
        <v>42650</v>
      </c>
      <c r="C52" s="12">
        <v>129.9</v>
      </c>
      <c r="D52" s="12">
        <v>9.9</v>
      </c>
      <c r="E52" s="15" t="s">
        <v>533</v>
      </c>
      <c r="F52" s="21"/>
      <c r="G52" s="22"/>
      <c r="H52" s="10"/>
      <c r="I52" s="10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x14ac:dyDescent="0.2">
      <c r="A53" s="10">
        <v>21117</v>
      </c>
      <c r="B53" s="11">
        <v>42650</v>
      </c>
      <c r="C53" s="12">
        <v>112.85</v>
      </c>
      <c r="D53" s="12">
        <v>8.6</v>
      </c>
      <c r="E53" s="15"/>
      <c r="I53" s="10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x14ac:dyDescent="0.2">
      <c r="A54" s="10">
        <v>21118</v>
      </c>
      <c r="B54" s="11">
        <v>42650</v>
      </c>
      <c r="C54" s="12">
        <v>92.25</v>
      </c>
      <c r="D54" s="12"/>
      <c r="E54" s="15" t="s">
        <v>21</v>
      </c>
      <c r="F54" s="21"/>
      <c r="G54" s="22"/>
      <c r="H54" s="10"/>
      <c r="I54" s="10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x14ac:dyDescent="0.2">
      <c r="A55" s="10">
        <v>21119</v>
      </c>
      <c r="B55" s="11">
        <v>42650</v>
      </c>
      <c r="C55" s="12">
        <v>450</v>
      </c>
      <c r="D55" s="12">
        <v>34.299999999999997</v>
      </c>
      <c r="E55" s="13"/>
      <c r="F55" s="18"/>
      <c r="G55" s="19"/>
      <c r="H55" s="12"/>
      <c r="I55" s="10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3" x14ac:dyDescent="0.2">
      <c r="A56" s="10">
        <v>21120</v>
      </c>
      <c r="B56" s="11">
        <v>42650</v>
      </c>
      <c r="C56" s="12">
        <v>58</v>
      </c>
      <c r="D56" s="12"/>
      <c r="E56" s="15" t="s">
        <v>21</v>
      </c>
      <c r="F56" s="21"/>
      <c r="G56" s="22"/>
      <c r="H56" s="10"/>
      <c r="I56" s="10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3" x14ac:dyDescent="0.2">
      <c r="A57" s="10">
        <v>21121</v>
      </c>
      <c r="B57" s="11">
        <v>42650</v>
      </c>
      <c r="C57" s="12">
        <v>25</v>
      </c>
      <c r="D57" s="12">
        <v>1.91</v>
      </c>
      <c r="E57" s="15" t="s">
        <v>21</v>
      </c>
      <c r="F57" s="20">
        <f>+C48+C49+224.35</f>
        <v>251.75</v>
      </c>
      <c r="G57" s="20">
        <f>26.6+194.62</f>
        <v>221.22</v>
      </c>
      <c r="H57" s="4"/>
      <c r="I57" s="10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x14ac:dyDescent="0.2">
      <c r="A58" s="10">
        <v>21122</v>
      </c>
      <c r="B58" s="11">
        <v>42651</v>
      </c>
      <c r="C58" s="12">
        <v>218.67000000000002</v>
      </c>
      <c r="D58" s="12">
        <v>16.670000000000002</v>
      </c>
      <c r="E58" s="15" t="s">
        <v>13</v>
      </c>
      <c r="F58" s="21"/>
      <c r="G58" s="22"/>
      <c r="H58" s="10"/>
      <c r="I58" s="10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3" x14ac:dyDescent="0.2">
      <c r="A59" s="10">
        <v>21123</v>
      </c>
      <c r="B59" s="11">
        <v>42651</v>
      </c>
      <c r="C59" s="12">
        <v>27.22</v>
      </c>
      <c r="D59" s="12">
        <v>2.0699999999999998</v>
      </c>
      <c r="E59" s="15" t="s">
        <v>11</v>
      </c>
      <c r="H59" s="10"/>
      <c r="I59" s="10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x14ac:dyDescent="0.2">
      <c r="A60" s="10">
        <v>21124</v>
      </c>
      <c r="B60" s="11">
        <v>42651</v>
      </c>
      <c r="C60" s="12">
        <v>184.03</v>
      </c>
      <c r="D60" s="12">
        <v>14.03</v>
      </c>
      <c r="E60" s="15" t="s">
        <v>11</v>
      </c>
      <c r="H60" s="10"/>
      <c r="I60" s="10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x14ac:dyDescent="0.2">
      <c r="A61" s="10">
        <v>21125</v>
      </c>
      <c r="B61" s="11">
        <v>42651</v>
      </c>
      <c r="C61" s="12">
        <v>96.34</v>
      </c>
      <c r="D61" s="12">
        <v>7.34</v>
      </c>
      <c r="E61" s="17"/>
      <c r="F61" s="18"/>
      <c r="G61" s="19"/>
      <c r="H61" s="12"/>
      <c r="I61" s="10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x14ac:dyDescent="0.2">
      <c r="A62" s="10">
        <v>21126</v>
      </c>
      <c r="B62" s="11">
        <v>42651</v>
      </c>
      <c r="C62" s="12">
        <v>310.24</v>
      </c>
      <c r="D62" s="12">
        <v>23.64</v>
      </c>
      <c r="E62" s="17"/>
      <c r="F62" s="18"/>
      <c r="G62" s="19"/>
      <c r="H62" s="12"/>
      <c r="I62" s="10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x14ac:dyDescent="0.2">
      <c r="A63" s="10">
        <v>21127</v>
      </c>
      <c r="B63" s="11">
        <v>42651</v>
      </c>
      <c r="C63" s="12">
        <v>230</v>
      </c>
      <c r="D63" s="12">
        <v>17.53</v>
      </c>
      <c r="E63" s="15" t="s">
        <v>11</v>
      </c>
      <c r="F63" s="21"/>
      <c r="G63" s="22"/>
      <c r="H63" s="10"/>
      <c r="I63" s="10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x14ac:dyDescent="0.2">
      <c r="A64" s="10">
        <v>21128</v>
      </c>
      <c r="B64" s="11">
        <v>42651</v>
      </c>
      <c r="C64" s="12">
        <v>14.07</v>
      </c>
      <c r="D64" s="12">
        <v>1.07</v>
      </c>
      <c r="E64" s="15" t="s">
        <v>11</v>
      </c>
      <c r="F64" s="21"/>
      <c r="G64" s="22"/>
      <c r="H64" s="10"/>
      <c r="I64" s="10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x14ac:dyDescent="0.2">
      <c r="A65" s="10">
        <v>21129</v>
      </c>
      <c r="B65" s="11">
        <v>42651</v>
      </c>
      <c r="C65" s="12">
        <v>19.489999999999998</v>
      </c>
      <c r="D65" s="12">
        <v>1.49</v>
      </c>
      <c r="E65" s="17"/>
      <c r="H65" s="12"/>
      <c r="I65" s="10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x14ac:dyDescent="0.2">
      <c r="A66" s="10">
        <v>21130</v>
      </c>
      <c r="B66" s="11">
        <v>42651</v>
      </c>
      <c r="C66" s="12">
        <v>86.6</v>
      </c>
      <c r="D66" s="12">
        <v>6.6</v>
      </c>
      <c r="E66" s="15" t="s">
        <v>533</v>
      </c>
      <c r="F66" s="21"/>
      <c r="G66" s="22"/>
      <c r="H66" s="10"/>
      <c r="I66" s="10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x14ac:dyDescent="0.2">
      <c r="A67" s="10">
        <v>21131</v>
      </c>
      <c r="B67" s="11">
        <v>42651</v>
      </c>
      <c r="C67" s="12">
        <v>43.3</v>
      </c>
      <c r="D67" s="12">
        <v>3.3</v>
      </c>
      <c r="E67" s="15" t="s">
        <v>533</v>
      </c>
      <c r="F67" s="115"/>
      <c r="G67" s="115"/>
      <c r="I67" s="10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x14ac:dyDescent="0.2">
      <c r="A68" s="10">
        <v>21132</v>
      </c>
      <c r="B68" s="11">
        <v>42651</v>
      </c>
      <c r="C68" s="12">
        <v>19</v>
      </c>
      <c r="D68" s="12"/>
      <c r="E68" s="15" t="s">
        <v>21</v>
      </c>
      <c r="F68" s="21"/>
      <c r="G68" s="22"/>
      <c r="H68" s="10"/>
      <c r="I68" s="10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x14ac:dyDescent="0.2">
      <c r="A69" s="10">
        <v>21133</v>
      </c>
      <c r="B69" s="11">
        <v>42651</v>
      </c>
      <c r="C69" s="12">
        <v>-43.3</v>
      </c>
      <c r="D69" s="12">
        <v>-3.3</v>
      </c>
      <c r="E69" s="15" t="s">
        <v>533</v>
      </c>
      <c r="I69" s="10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x14ac:dyDescent="0.2">
      <c r="A70" s="10">
        <v>21134</v>
      </c>
      <c r="B70" s="11">
        <v>42651</v>
      </c>
      <c r="C70" s="12">
        <v>397.28</v>
      </c>
      <c r="D70" s="12">
        <v>30.28</v>
      </c>
      <c r="E70" s="15" t="s">
        <v>11</v>
      </c>
      <c r="F70" s="21"/>
      <c r="G70" s="22"/>
      <c r="H70" s="10"/>
      <c r="I70" s="10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x14ac:dyDescent="0.2">
      <c r="A71" s="10">
        <v>21135</v>
      </c>
      <c r="B71" s="11">
        <v>42651</v>
      </c>
      <c r="C71" s="12">
        <v>175.37</v>
      </c>
      <c r="D71" s="12">
        <v>13.37</v>
      </c>
      <c r="E71" s="15" t="s">
        <v>21</v>
      </c>
      <c r="F71" s="20">
        <f>+C58+C59+C60+C63+C64+216.5</f>
        <v>890.49000000000012</v>
      </c>
      <c r="G71" s="20">
        <f>659.87+187.82</f>
        <v>847.69</v>
      </c>
      <c r="H71" s="114"/>
      <c r="I71" s="10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x14ac:dyDescent="0.2">
      <c r="A72" s="10">
        <v>21136</v>
      </c>
      <c r="B72" s="11">
        <v>42653</v>
      </c>
      <c r="C72" s="12">
        <v>502.23</v>
      </c>
      <c r="D72" s="12">
        <v>38.28</v>
      </c>
      <c r="E72" s="15" t="s">
        <v>533</v>
      </c>
      <c r="I72" s="10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x14ac:dyDescent="0.2">
      <c r="A73" s="10">
        <v>21137</v>
      </c>
      <c r="B73" s="11">
        <v>42653</v>
      </c>
      <c r="C73" s="12">
        <v>114.75</v>
      </c>
      <c r="D73" s="12">
        <v>8.75</v>
      </c>
      <c r="E73" s="17"/>
      <c r="I73" s="10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x14ac:dyDescent="0.2">
      <c r="A74" s="10">
        <v>21138</v>
      </c>
      <c r="B74" s="11">
        <v>42653</v>
      </c>
      <c r="C74" s="12">
        <v>5.41</v>
      </c>
      <c r="D74" s="12">
        <v>0.41</v>
      </c>
      <c r="E74" s="17"/>
      <c r="I74" s="10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x14ac:dyDescent="0.2">
      <c r="A75" s="10">
        <v>21139</v>
      </c>
      <c r="B75" s="11">
        <v>42653</v>
      </c>
      <c r="C75" s="12">
        <v>8.66</v>
      </c>
      <c r="D75" s="12">
        <v>0.66</v>
      </c>
      <c r="E75" s="15" t="s">
        <v>533</v>
      </c>
      <c r="I75" s="10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x14ac:dyDescent="0.2">
      <c r="A76" s="10">
        <v>21140</v>
      </c>
      <c r="B76" s="11">
        <v>42653</v>
      </c>
      <c r="C76" s="12">
        <v>18.5</v>
      </c>
      <c r="D76" s="12"/>
      <c r="E76" s="13" t="s">
        <v>19</v>
      </c>
      <c r="F76" s="18"/>
      <c r="G76" s="19"/>
      <c r="H76" s="12"/>
      <c r="I76" s="10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x14ac:dyDescent="0.2">
      <c r="A77" s="10">
        <v>21141</v>
      </c>
      <c r="B77" s="11">
        <v>42653</v>
      </c>
      <c r="C77" s="12">
        <v>214.34</v>
      </c>
      <c r="D77" s="12">
        <v>16.34</v>
      </c>
      <c r="E77" s="15" t="s">
        <v>21</v>
      </c>
      <c r="I77" s="10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x14ac:dyDescent="0.2">
      <c r="A78" s="10">
        <v>21142</v>
      </c>
      <c r="B78" s="11">
        <v>42653</v>
      </c>
      <c r="C78" s="12">
        <v>28.09</v>
      </c>
      <c r="D78" s="12">
        <v>2.14</v>
      </c>
      <c r="E78" s="17"/>
      <c r="I78" s="10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x14ac:dyDescent="0.2">
      <c r="A79" s="10">
        <v>21143</v>
      </c>
      <c r="B79" s="11">
        <v>42653</v>
      </c>
      <c r="C79" s="12">
        <v>335.58</v>
      </c>
      <c r="D79" s="12">
        <v>25.58</v>
      </c>
      <c r="E79" s="15" t="s">
        <v>11</v>
      </c>
      <c r="F79" s="21"/>
      <c r="G79" s="22"/>
      <c r="H79" s="10"/>
      <c r="I79" s="10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x14ac:dyDescent="0.2">
      <c r="A80" s="10">
        <v>21144</v>
      </c>
      <c r="B80" s="11">
        <v>42653</v>
      </c>
      <c r="C80" s="12">
        <v>77.94</v>
      </c>
      <c r="D80" s="12">
        <v>5.94</v>
      </c>
      <c r="E80" s="15" t="s">
        <v>533</v>
      </c>
      <c r="I80" s="10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x14ac:dyDescent="0.2">
      <c r="A81" s="10">
        <v>21145</v>
      </c>
      <c r="B81" s="11">
        <v>42653</v>
      </c>
      <c r="C81" s="12">
        <v>302.01</v>
      </c>
      <c r="D81" s="12">
        <v>23.01</v>
      </c>
      <c r="E81" s="15" t="s">
        <v>11</v>
      </c>
      <c r="I81" s="10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x14ac:dyDescent="0.2">
      <c r="A82" s="10">
        <v>21146</v>
      </c>
      <c r="B82" s="11">
        <v>42653</v>
      </c>
      <c r="C82" s="12">
        <v>140</v>
      </c>
      <c r="D82" s="12">
        <v>10.67</v>
      </c>
      <c r="E82" s="17"/>
      <c r="I82" s="10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x14ac:dyDescent="0.2">
      <c r="A83" s="10">
        <v>21147</v>
      </c>
      <c r="B83" s="11">
        <v>42653</v>
      </c>
      <c r="C83" s="12">
        <v>85.9</v>
      </c>
      <c r="D83" s="12"/>
      <c r="E83" s="15" t="s">
        <v>441</v>
      </c>
      <c r="F83" s="20">
        <f>+C70+C81+C79+807.55</f>
        <v>1842.4199999999998</v>
      </c>
      <c r="G83" s="20">
        <f>1020.32+700.56</f>
        <v>1720.88</v>
      </c>
      <c r="H83" s="114"/>
      <c r="I83" s="10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x14ac:dyDescent="0.2">
      <c r="A84" s="10">
        <v>21148</v>
      </c>
      <c r="B84" s="11">
        <v>42654</v>
      </c>
      <c r="C84" s="12">
        <v>31.95</v>
      </c>
      <c r="D84" s="12"/>
      <c r="E84" s="15" t="s">
        <v>796</v>
      </c>
      <c r="F84" s="21"/>
      <c r="G84" s="22"/>
      <c r="H84" s="10"/>
      <c r="I84" s="10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x14ac:dyDescent="0.2">
      <c r="A85" s="10">
        <v>21149</v>
      </c>
      <c r="B85" s="11">
        <v>42654</v>
      </c>
      <c r="C85" s="12">
        <v>71.2</v>
      </c>
      <c r="D85" s="12"/>
      <c r="E85" s="13" t="s">
        <v>791</v>
      </c>
      <c r="F85" s="18"/>
      <c r="G85" s="19"/>
      <c r="H85" s="12"/>
      <c r="I85" s="10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x14ac:dyDescent="0.2">
      <c r="A86" s="10">
        <v>21150</v>
      </c>
      <c r="B86" s="11">
        <v>42654</v>
      </c>
      <c r="C86" s="12">
        <v>53</v>
      </c>
      <c r="D86" s="12">
        <v>4.04</v>
      </c>
      <c r="E86" s="13"/>
      <c r="F86" s="18"/>
      <c r="G86" s="19"/>
      <c r="H86" s="12"/>
      <c r="I86" s="10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x14ac:dyDescent="0.2">
      <c r="A87" s="10">
        <v>21151</v>
      </c>
      <c r="B87" s="11">
        <v>42654</v>
      </c>
      <c r="C87" s="12">
        <v>27.009999999999998</v>
      </c>
      <c r="D87" s="12">
        <v>2.06</v>
      </c>
      <c r="E87" s="15" t="s">
        <v>11</v>
      </c>
      <c r="H87" s="10"/>
      <c r="I87" s="10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x14ac:dyDescent="0.2">
      <c r="A88" s="10">
        <v>21152</v>
      </c>
      <c r="B88" s="11">
        <v>42654</v>
      </c>
      <c r="C88" s="12">
        <v>29.23</v>
      </c>
      <c r="D88" s="12">
        <v>2.23</v>
      </c>
      <c r="E88" s="15" t="s">
        <v>11</v>
      </c>
      <c r="F88" s="21"/>
      <c r="G88" s="22"/>
      <c r="H88" s="10"/>
      <c r="I88" s="10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x14ac:dyDescent="0.2">
      <c r="A89" s="10">
        <v>21153</v>
      </c>
      <c r="B89" s="11">
        <v>42654</v>
      </c>
      <c r="C89" s="12">
        <v>289.02999999999997</v>
      </c>
      <c r="D89" s="12">
        <v>22.03</v>
      </c>
      <c r="E89" s="15"/>
      <c r="F89" s="21"/>
      <c r="G89" s="22"/>
      <c r="H89" s="10"/>
      <c r="I89" s="10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x14ac:dyDescent="0.2">
      <c r="A90" s="10">
        <v>21154</v>
      </c>
      <c r="B90" s="11">
        <v>42654</v>
      </c>
      <c r="C90" s="12">
        <v>20</v>
      </c>
      <c r="D90" s="12"/>
      <c r="E90" s="13" t="s">
        <v>276</v>
      </c>
      <c r="F90" s="18"/>
      <c r="G90" s="19"/>
      <c r="H90" s="12"/>
      <c r="I90" s="10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x14ac:dyDescent="0.2">
      <c r="A91" s="10">
        <v>21155</v>
      </c>
      <c r="B91" s="11">
        <v>42654</v>
      </c>
      <c r="C91" s="12">
        <v>25.98</v>
      </c>
      <c r="D91" s="12">
        <v>1.98</v>
      </c>
      <c r="E91" s="17"/>
      <c r="F91" s="18"/>
      <c r="G91" s="19"/>
      <c r="H91" s="12"/>
      <c r="I91" s="10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x14ac:dyDescent="0.2">
      <c r="A92" s="10">
        <v>21156</v>
      </c>
      <c r="B92" s="11">
        <v>42654</v>
      </c>
      <c r="C92" s="12">
        <v>10.83</v>
      </c>
      <c r="D92" s="12">
        <v>0.83</v>
      </c>
      <c r="E92" s="17"/>
      <c r="F92" s="18"/>
      <c r="G92" s="19"/>
      <c r="H92" s="12"/>
      <c r="I92" s="10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x14ac:dyDescent="0.2">
      <c r="A93" s="10">
        <v>21157</v>
      </c>
      <c r="B93" s="11">
        <v>42654</v>
      </c>
      <c r="C93" s="12">
        <v>116.91</v>
      </c>
      <c r="D93" s="12">
        <v>8.91</v>
      </c>
      <c r="E93" s="17"/>
      <c r="F93" s="20">
        <f>+C84+C87+C88</f>
        <v>88.19</v>
      </c>
      <c r="G93" s="20">
        <v>86.55</v>
      </c>
      <c r="H93" s="12"/>
      <c r="I93" s="10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x14ac:dyDescent="0.2">
      <c r="A94" s="10">
        <v>21158</v>
      </c>
      <c r="B94" s="11">
        <v>42655</v>
      </c>
      <c r="C94" s="12">
        <v>14.66</v>
      </c>
      <c r="D94" s="12">
        <v>0.66</v>
      </c>
      <c r="E94" s="17"/>
      <c r="H94" s="12"/>
      <c r="I94" s="10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x14ac:dyDescent="0.2">
      <c r="A95" s="10">
        <v>21159</v>
      </c>
      <c r="B95" s="11">
        <v>42655</v>
      </c>
      <c r="C95" s="12">
        <v>40.489999999999995</v>
      </c>
      <c r="D95" s="12">
        <v>3.09</v>
      </c>
      <c r="E95" s="17"/>
      <c r="H95" s="12"/>
      <c r="I95" s="10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x14ac:dyDescent="0.2">
      <c r="A96" s="10">
        <v>21160</v>
      </c>
      <c r="B96" s="11">
        <v>42655</v>
      </c>
      <c r="C96" s="12">
        <v>107.17</v>
      </c>
      <c r="D96" s="12">
        <v>8.17</v>
      </c>
      <c r="E96" s="15" t="s">
        <v>533</v>
      </c>
      <c r="H96" s="10"/>
      <c r="I96" s="10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x14ac:dyDescent="0.2">
      <c r="A97" s="10">
        <v>21161</v>
      </c>
      <c r="B97" s="11">
        <v>42655</v>
      </c>
      <c r="C97" s="12">
        <v>22.08</v>
      </c>
      <c r="D97" s="12"/>
      <c r="E97" s="15" t="s">
        <v>11</v>
      </c>
      <c r="F97" s="21"/>
      <c r="G97" s="22"/>
      <c r="H97" s="10"/>
      <c r="I97" s="10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x14ac:dyDescent="0.2">
      <c r="A98" s="10">
        <v>21162</v>
      </c>
      <c r="B98" s="11">
        <v>42655</v>
      </c>
      <c r="C98" s="12">
        <v>28.15</v>
      </c>
      <c r="D98" s="12">
        <v>2.15</v>
      </c>
      <c r="E98" s="15" t="s">
        <v>797</v>
      </c>
      <c r="I98" s="10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x14ac:dyDescent="0.2">
      <c r="A99" s="10">
        <v>21163</v>
      </c>
      <c r="B99" s="11">
        <v>42655</v>
      </c>
      <c r="C99" s="12">
        <v>300.39</v>
      </c>
      <c r="D99" s="12">
        <v>22.89</v>
      </c>
      <c r="E99" s="17"/>
      <c r="F99" s="20">
        <f>+C97+285.91</f>
        <v>307.99</v>
      </c>
      <c r="G99" s="20">
        <f>21.68+248.02</f>
        <v>269.7</v>
      </c>
      <c r="H99" s="114"/>
      <c r="I99" s="10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x14ac:dyDescent="0.2">
      <c r="A100" s="10">
        <v>21164</v>
      </c>
      <c r="B100" s="11">
        <v>42656</v>
      </c>
      <c r="C100" s="12">
        <v>21.65</v>
      </c>
      <c r="D100" s="12">
        <v>1.65</v>
      </c>
      <c r="E100" s="17"/>
      <c r="F100" s="18"/>
      <c r="G100" s="19"/>
      <c r="H100" s="12"/>
      <c r="I100" s="10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x14ac:dyDescent="0.2">
      <c r="A101" s="10">
        <v>21165</v>
      </c>
      <c r="B101" s="11">
        <v>42656</v>
      </c>
      <c r="C101" s="12">
        <v>6.69</v>
      </c>
      <c r="D101" s="12"/>
      <c r="E101" s="15" t="s">
        <v>11</v>
      </c>
      <c r="H101" s="10"/>
      <c r="I101" s="10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x14ac:dyDescent="0.2">
      <c r="A102" s="10">
        <v>21166</v>
      </c>
      <c r="B102" s="11">
        <v>42656</v>
      </c>
      <c r="C102" s="12">
        <v>79.87</v>
      </c>
      <c r="D102" s="12"/>
      <c r="E102" s="15" t="s">
        <v>11</v>
      </c>
      <c r="I102" s="10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x14ac:dyDescent="0.2">
      <c r="A103" s="10">
        <v>21167</v>
      </c>
      <c r="B103" s="11">
        <v>42656</v>
      </c>
      <c r="C103" s="12">
        <v>99.62</v>
      </c>
      <c r="D103" s="12">
        <v>9.1199999999999992</v>
      </c>
      <c r="E103" s="17"/>
      <c r="F103" s="18"/>
      <c r="G103" s="19"/>
      <c r="H103" s="12"/>
      <c r="I103" s="10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x14ac:dyDescent="0.2">
      <c r="A104" s="10">
        <v>21168</v>
      </c>
      <c r="B104" s="11">
        <v>42656</v>
      </c>
      <c r="C104" s="12">
        <v>10.83</v>
      </c>
      <c r="D104" s="12">
        <v>0.83</v>
      </c>
      <c r="E104" s="15" t="s">
        <v>533</v>
      </c>
      <c r="F104" s="20">
        <f>+C101+C102+400.53</f>
        <v>487.09</v>
      </c>
      <c r="G104" s="20">
        <f>85.63+347.46</f>
        <v>433.09</v>
      </c>
      <c r="H104" s="114"/>
      <c r="I104" s="10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x14ac:dyDescent="0.2">
      <c r="A105" s="10">
        <v>21169</v>
      </c>
      <c r="B105" s="11">
        <v>42657</v>
      </c>
      <c r="C105" s="12">
        <v>31.39</v>
      </c>
      <c r="D105" s="12">
        <v>2.39</v>
      </c>
      <c r="E105" s="15" t="s">
        <v>533</v>
      </c>
      <c r="I105" s="10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x14ac:dyDescent="0.2">
      <c r="A106" s="10">
        <v>21170</v>
      </c>
      <c r="B106" s="11">
        <v>42657</v>
      </c>
      <c r="C106" s="12">
        <v>329.08</v>
      </c>
      <c r="D106" s="12">
        <v>25.08</v>
      </c>
      <c r="E106" s="15" t="s">
        <v>798</v>
      </c>
      <c r="F106" s="21"/>
      <c r="G106" s="22"/>
      <c r="H106" s="10"/>
      <c r="I106" s="10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x14ac:dyDescent="0.2">
      <c r="A107" s="10">
        <v>21171</v>
      </c>
      <c r="B107" s="11">
        <v>42657</v>
      </c>
      <c r="C107" s="12">
        <v>5.41</v>
      </c>
      <c r="D107" s="12">
        <v>0.41</v>
      </c>
      <c r="E107" s="13"/>
      <c r="F107" s="18"/>
      <c r="G107" s="19"/>
      <c r="H107" s="12"/>
      <c r="I107" s="10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x14ac:dyDescent="0.2">
      <c r="A108" s="10">
        <v>21172</v>
      </c>
      <c r="B108" s="11">
        <v>42657</v>
      </c>
      <c r="C108" s="12">
        <v>445</v>
      </c>
      <c r="D108" s="12">
        <v>33.909999999999997</v>
      </c>
      <c r="E108" s="15" t="s">
        <v>581</v>
      </c>
      <c r="F108" s="21"/>
      <c r="G108" s="22"/>
      <c r="H108" s="10"/>
      <c r="I108" s="10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x14ac:dyDescent="0.2">
      <c r="A109" s="10">
        <v>21173</v>
      </c>
      <c r="B109" s="11">
        <v>42657</v>
      </c>
      <c r="C109" s="12">
        <v>16.239999999999998</v>
      </c>
      <c r="D109" s="12">
        <v>1.24</v>
      </c>
      <c r="E109" s="17"/>
      <c r="I109" s="10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x14ac:dyDescent="0.2">
      <c r="A110" s="10">
        <v>21174</v>
      </c>
      <c r="B110" s="11">
        <v>42657</v>
      </c>
      <c r="C110" s="12">
        <v>349.83000000000004</v>
      </c>
      <c r="D110" s="12"/>
      <c r="E110" s="15" t="s">
        <v>441</v>
      </c>
      <c r="I110" s="10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x14ac:dyDescent="0.2">
      <c r="A111" s="10">
        <v>21175</v>
      </c>
      <c r="B111" s="11">
        <v>42657</v>
      </c>
      <c r="C111" s="12">
        <v>10.83</v>
      </c>
      <c r="D111" s="12">
        <v>0.83</v>
      </c>
      <c r="E111" s="15" t="s">
        <v>533</v>
      </c>
      <c r="F111" s="20">
        <f>210+342.22</f>
        <v>552.22</v>
      </c>
      <c r="G111" s="20">
        <f>204.78+296.87</f>
        <v>501.65</v>
      </c>
      <c r="H111" s="114"/>
      <c r="I111" s="10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x14ac:dyDescent="0.2">
      <c r="A112" s="10">
        <v>21176</v>
      </c>
      <c r="B112" s="11">
        <v>42658</v>
      </c>
      <c r="C112" s="12">
        <v>-54.13</v>
      </c>
      <c r="D112" s="12">
        <v>-4.13</v>
      </c>
      <c r="E112" s="15" t="s">
        <v>21</v>
      </c>
      <c r="F112" s="21"/>
      <c r="G112" s="22"/>
      <c r="H112" s="10"/>
      <c r="I112" s="10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x14ac:dyDescent="0.2">
      <c r="A113" s="10">
        <v>21177</v>
      </c>
      <c r="B113" s="11">
        <v>42658</v>
      </c>
      <c r="C113" s="12">
        <v>41.14</v>
      </c>
      <c r="D113" s="12">
        <v>3.14</v>
      </c>
      <c r="E113" s="15" t="s">
        <v>11</v>
      </c>
      <c r="F113" s="21"/>
      <c r="G113" s="22"/>
      <c r="H113" s="10"/>
      <c r="I113" s="10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x14ac:dyDescent="0.2">
      <c r="A114" s="10">
        <v>21178</v>
      </c>
      <c r="B114" s="11">
        <v>42658</v>
      </c>
      <c r="C114" s="12">
        <v>-32.479999999999997</v>
      </c>
      <c r="D114" s="12">
        <v>-2.48</v>
      </c>
      <c r="E114" s="13"/>
      <c r="F114" s="18"/>
      <c r="G114" s="19"/>
      <c r="H114" s="12"/>
      <c r="I114" s="10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x14ac:dyDescent="0.2">
      <c r="A115" s="10">
        <v>21179</v>
      </c>
      <c r="B115" s="11">
        <v>42658</v>
      </c>
      <c r="C115" s="12">
        <v>261</v>
      </c>
      <c r="D115" s="12">
        <v>19.89</v>
      </c>
      <c r="E115" s="13"/>
      <c r="F115" s="18"/>
      <c r="G115" s="19"/>
      <c r="H115" s="12"/>
      <c r="I115" s="10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x14ac:dyDescent="0.2">
      <c r="A116" s="10">
        <v>21180</v>
      </c>
      <c r="B116" s="11">
        <v>42658</v>
      </c>
      <c r="C116" s="12">
        <v>200</v>
      </c>
      <c r="D116" s="12">
        <v>15.24</v>
      </c>
      <c r="E116" s="15" t="s">
        <v>799</v>
      </c>
      <c r="H116" s="10"/>
      <c r="I116" s="10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x14ac:dyDescent="0.2">
      <c r="A117" s="10">
        <v>21181</v>
      </c>
      <c r="B117" s="11">
        <v>42658</v>
      </c>
      <c r="C117" s="12">
        <v>43.84</v>
      </c>
      <c r="D117" s="12">
        <v>3.34</v>
      </c>
      <c r="E117" s="15" t="s">
        <v>7</v>
      </c>
      <c r="F117" s="21"/>
      <c r="G117" s="22"/>
      <c r="H117" s="10"/>
      <c r="I117" s="10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x14ac:dyDescent="0.2">
      <c r="A118" s="10">
        <v>21182</v>
      </c>
      <c r="B118" s="11">
        <v>42658</v>
      </c>
      <c r="C118" s="12">
        <v>155.27000000000001</v>
      </c>
      <c r="D118" s="12"/>
      <c r="E118" s="15" t="s">
        <v>441</v>
      </c>
      <c r="H118" s="10"/>
      <c r="I118" s="10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x14ac:dyDescent="0.2">
      <c r="A119" s="10">
        <v>21183</v>
      </c>
      <c r="B119" s="11">
        <v>42658</v>
      </c>
      <c r="C119" s="12">
        <v>93.45</v>
      </c>
      <c r="D119" s="12"/>
      <c r="E119" s="15" t="s">
        <v>441</v>
      </c>
      <c r="H119" s="10"/>
      <c r="I119" s="10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x14ac:dyDescent="0.2">
      <c r="A120" s="10">
        <v>21184</v>
      </c>
      <c r="B120" s="11">
        <v>42658</v>
      </c>
      <c r="C120" s="12">
        <v>27</v>
      </c>
      <c r="D120" s="12"/>
      <c r="E120" s="15" t="s">
        <v>441</v>
      </c>
      <c r="H120" s="10"/>
      <c r="I120" s="10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x14ac:dyDescent="0.2">
      <c r="A121" s="10">
        <v>21185</v>
      </c>
      <c r="B121" s="11">
        <v>42658</v>
      </c>
      <c r="C121" s="12">
        <v>799.97</v>
      </c>
      <c r="D121" s="12">
        <v>60.97</v>
      </c>
      <c r="E121" s="15" t="s">
        <v>11</v>
      </c>
      <c r="F121" s="21"/>
      <c r="G121" s="22"/>
      <c r="H121" s="10"/>
      <c r="I121" s="10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x14ac:dyDescent="0.2">
      <c r="A122" s="10">
        <v>21186</v>
      </c>
      <c r="B122" s="11">
        <v>42658</v>
      </c>
      <c r="C122" s="12">
        <v>15.16</v>
      </c>
      <c r="D122" s="12">
        <v>1.1599999999999999</v>
      </c>
      <c r="E122" s="15" t="s">
        <v>7</v>
      </c>
      <c r="H122" s="10"/>
      <c r="I122" s="10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x14ac:dyDescent="0.2">
      <c r="A123" s="10">
        <v>21187</v>
      </c>
      <c r="B123" s="11">
        <v>42658</v>
      </c>
      <c r="C123" s="12">
        <v>9.74</v>
      </c>
      <c r="D123" s="12">
        <v>0.74</v>
      </c>
      <c r="E123" s="15" t="s">
        <v>11</v>
      </c>
      <c r="F123" s="21"/>
      <c r="G123" s="22"/>
      <c r="H123" s="10"/>
      <c r="I123" s="10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x14ac:dyDescent="0.2">
      <c r="A124" s="10">
        <v>21188</v>
      </c>
      <c r="B124" s="11">
        <v>42658</v>
      </c>
      <c r="C124" s="12">
        <v>21.65</v>
      </c>
      <c r="D124" s="12">
        <v>1.65</v>
      </c>
      <c r="E124" s="15" t="s">
        <v>11</v>
      </c>
      <c r="H124" s="10"/>
      <c r="I124" s="10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x14ac:dyDescent="0.2">
      <c r="A125" s="10">
        <v>21189</v>
      </c>
      <c r="B125" s="11">
        <v>42658</v>
      </c>
      <c r="C125" s="12">
        <v>173.2</v>
      </c>
      <c r="D125" s="12">
        <v>13.2</v>
      </c>
      <c r="E125" s="17"/>
      <c r="F125" s="18"/>
      <c r="G125" s="19"/>
      <c r="H125" s="12"/>
      <c r="I125" s="10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x14ac:dyDescent="0.2">
      <c r="A126" s="10">
        <v>21190</v>
      </c>
      <c r="B126" s="11">
        <v>42658</v>
      </c>
      <c r="C126" s="12">
        <v>54.13</v>
      </c>
      <c r="D126" s="12">
        <v>4.13</v>
      </c>
      <c r="E126" s="17"/>
      <c r="H126" s="12"/>
      <c r="I126" s="10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x14ac:dyDescent="0.2">
      <c r="A127" s="10">
        <v>21191</v>
      </c>
      <c r="B127" s="11">
        <v>42658</v>
      </c>
      <c r="C127" s="12">
        <v>35.72</v>
      </c>
      <c r="D127" s="12">
        <v>2.72</v>
      </c>
      <c r="E127" s="17"/>
      <c r="H127" s="12"/>
      <c r="I127" s="10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x14ac:dyDescent="0.2">
      <c r="A128" s="10">
        <v>21192</v>
      </c>
      <c r="B128" s="11">
        <v>42658</v>
      </c>
      <c r="C128" s="12">
        <v>54.34</v>
      </c>
      <c r="D128" s="12">
        <v>4.1399999999999997</v>
      </c>
      <c r="E128" s="15" t="s">
        <v>742</v>
      </c>
      <c r="F128" s="20">
        <f>+C113+159+C117+C121+C122+C123+C124</f>
        <v>1090.5000000000002</v>
      </c>
      <c r="G128" s="20">
        <v>1069.48</v>
      </c>
      <c r="H128" s="10"/>
      <c r="I128" s="10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x14ac:dyDescent="0.2">
      <c r="A129" s="10">
        <v>21193</v>
      </c>
      <c r="B129" s="11">
        <v>42660</v>
      </c>
      <c r="C129" s="12">
        <v>122</v>
      </c>
      <c r="D129" s="12"/>
      <c r="E129" s="15" t="s">
        <v>800</v>
      </c>
      <c r="F129" s="21"/>
      <c r="G129" s="22"/>
      <c r="H129" s="10"/>
      <c r="I129" s="10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x14ac:dyDescent="0.2">
      <c r="A130" s="10">
        <v>21194</v>
      </c>
      <c r="B130" s="11">
        <v>42660</v>
      </c>
      <c r="C130" s="12">
        <v>23</v>
      </c>
      <c r="D130" s="12"/>
      <c r="E130" s="15" t="s">
        <v>800</v>
      </c>
      <c r="F130" s="21"/>
      <c r="G130" s="22"/>
      <c r="H130" s="10"/>
      <c r="I130" s="10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x14ac:dyDescent="0.2">
      <c r="A131" s="10">
        <v>21195</v>
      </c>
      <c r="B131" s="11">
        <v>42660</v>
      </c>
      <c r="C131" s="12">
        <v>64.95</v>
      </c>
      <c r="D131" s="12">
        <v>4.95</v>
      </c>
      <c r="E131" s="15" t="s">
        <v>533</v>
      </c>
      <c r="F131" s="21"/>
      <c r="G131" s="22"/>
      <c r="H131" s="10"/>
      <c r="I131" s="10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x14ac:dyDescent="0.2">
      <c r="A132" s="10">
        <v>21196</v>
      </c>
      <c r="B132" s="11">
        <v>42660</v>
      </c>
      <c r="C132" s="12">
        <v>97.43</v>
      </c>
      <c r="D132" s="12">
        <v>7.43</v>
      </c>
      <c r="E132" s="17"/>
      <c r="F132" s="18"/>
      <c r="G132" s="19"/>
      <c r="H132" s="12"/>
      <c r="I132" s="10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x14ac:dyDescent="0.2">
      <c r="A133" s="10">
        <v>21197</v>
      </c>
      <c r="B133" s="11">
        <v>42660</v>
      </c>
      <c r="C133" s="12">
        <v>230</v>
      </c>
      <c r="D133" s="12"/>
      <c r="E133" s="13" t="s">
        <v>791</v>
      </c>
      <c r="I133" s="10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x14ac:dyDescent="0.2">
      <c r="A134" s="10">
        <v>21198</v>
      </c>
      <c r="B134" s="11">
        <v>42660</v>
      </c>
      <c r="C134" s="12">
        <v>50</v>
      </c>
      <c r="D134" s="12"/>
      <c r="E134" s="15" t="s">
        <v>801</v>
      </c>
      <c r="F134" s="21"/>
      <c r="G134" s="22"/>
      <c r="H134" s="10"/>
      <c r="I134" s="10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x14ac:dyDescent="0.2">
      <c r="A135" s="10">
        <v>21199</v>
      </c>
      <c r="B135" s="11">
        <v>42660</v>
      </c>
      <c r="C135" s="12">
        <v>30</v>
      </c>
      <c r="D135" s="12"/>
      <c r="E135" s="13" t="s">
        <v>277</v>
      </c>
      <c r="F135" s="18"/>
      <c r="G135" s="19"/>
      <c r="H135" s="12"/>
      <c r="I135" s="10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x14ac:dyDescent="0.2">
      <c r="A136" s="10">
        <v>21200</v>
      </c>
      <c r="B136" s="11">
        <v>42660</v>
      </c>
      <c r="C136" s="12">
        <v>309.60000000000002</v>
      </c>
      <c r="D136" s="12">
        <v>23.6</v>
      </c>
      <c r="E136" s="15" t="s">
        <v>7</v>
      </c>
      <c r="I136" s="10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x14ac:dyDescent="0.2">
      <c r="A137" s="10">
        <v>21201</v>
      </c>
      <c r="B137" s="11">
        <v>42660</v>
      </c>
      <c r="C137" s="12">
        <v>21</v>
      </c>
      <c r="D137" s="12">
        <v>1.6</v>
      </c>
      <c r="E137" s="17"/>
      <c r="I137" s="10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x14ac:dyDescent="0.2">
      <c r="A138" s="10">
        <v>21202</v>
      </c>
      <c r="B138" s="11">
        <v>42660</v>
      </c>
      <c r="C138" s="12">
        <v>351.81</v>
      </c>
      <c r="D138" s="12">
        <v>26.81</v>
      </c>
      <c r="E138" s="15" t="s">
        <v>802</v>
      </c>
      <c r="I138" s="10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x14ac:dyDescent="0.2">
      <c r="A139" s="10">
        <v>21203</v>
      </c>
      <c r="B139" s="11">
        <v>42660</v>
      </c>
      <c r="C139" s="12">
        <v>25.2</v>
      </c>
      <c r="D139" s="12"/>
      <c r="E139" s="15" t="s">
        <v>11</v>
      </c>
      <c r="F139" s="21"/>
      <c r="G139" s="22"/>
      <c r="H139" s="10"/>
      <c r="I139" s="10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x14ac:dyDescent="0.2">
      <c r="A140" s="10">
        <v>21204</v>
      </c>
      <c r="B140" s="11">
        <v>42660</v>
      </c>
      <c r="C140" s="12">
        <v>7.58</v>
      </c>
      <c r="D140" s="12">
        <v>0.57999999999999996</v>
      </c>
      <c r="E140" s="13"/>
      <c r="F140" s="18"/>
      <c r="G140" s="19"/>
      <c r="H140" s="12"/>
      <c r="I140" s="10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x14ac:dyDescent="0.2">
      <c r="A141" s="10">
        <v>21205</v>
      </c>
      <c r="B141" s="11">
        <v>42660</v>
      </c>
      <c r="C141" s="12">
        <v>35.18</v>
      </c>
      <c r="D141" s="12">
        <v>2.68</v>
      </c>
      <c r="E141" s="13"/>
      <c r="F141" s="18"/>
      <c r="G141" s="19"/>
      <c r="H141" s="12"/>
      <c r="I141" s="10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x14ac:dyDescent="0.2">
      <c r="A142" s="10">
        <v>21206</v>
      </c>
      <c r="B142" s="11">
        <v>42660</v>
      </c>
      <c r="C142" s="12">
        <v>29.23</v>
      </c>
      <c r="D142" s="12">
        <v>2.23</v>
      </c>
      <c r="E142" s="13"/>
      <c r="F142" s="20">
        <f>+C136+C139+64.95</f>
        <v>399.75</v>
      </c>
      <c r="G142" s="20">
        <f>326.48+56.34</f>
        <v>382.82000000000005</v>
      </c>
      <c r="H142" s="161"/>
      <c r="I142" s="10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x14ac:dyDescent="0.2">
      <c r="A143" s="10">
        <v>21207</v>
      </c>
      <c r="B143" s="11">
        <v>42661</v>
      </c>
      <c r="C143" s="12">
        <v>253.31</v>
      </c>
      <c r="D143" s="12">
        <v>19.309999999999999</v>
      </c>
      <c r="E143" s="15" t="s">
        <v>11</v>
      </c>
      <c r="H143" s="10"/>
      <c r="I143" s="10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x14ac:dyDescent="0.2">
      <c r="A144" s="10">
        <v>21208</v>
      </c>
      <c r="B144" s="11">
        <v>42661</v>
      </c>
      <c r="C144" s="12">
        <v>87.5</v>
      </c>
      <c r="D144" s="12"/>
      <c r="E144" s="15" t="s">
        <v>441</v>
      </c>
      <c r="H144" s="10"/>
      <c r="I144" s="10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x14ac:dyDescent="0.2">
      <c r="A145" s="10">
        <v>21209</v>
      </c>
      <c r="B145" s="11">
        <v>42661</v>
      </c>
      <c r="C145" s="12">
        <v>12.39</v>
      </c>
      <c r="D145" s="12"/>
      <c r="E145" s="15" t="s">
        <v>97</v>
      </c>
      <c r="F145" s="21"/>
      <c r="G145" s="22"/>
      <c r="H145" s="10"/>
      <c r="I145" s="10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x14ac:dyDescent="0.2">
      <c r="A146" s="10">
        <v>21210</v>
      </c>
      <c r="B146" s="11">
        <v>42661</v>
      </c>
      <c r="C146" s="12">
        <v>6.89</v>
      </c>
      <c r="D146" s="12"/>
      <c r="E146" s="15" t="s">
        <v>97</v>
      </c>
      <c r="F146" s="21"/>
      <c r="G146" s="22"/>
      <c r="H146" s="10"/>
      <c r="I146" s="10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x14ac:dyDescent="0.2">
      <c r="A147" s="10">
        <v>21211</v>
      </c>
      <c r="B147" s="11">
        <v>42661</v>
      </c>
      <c r="C147" s="12">
        <v>9</v>
      </c>
      <c r="D147" s="12"/>
      <c r="E147" s="15" t="s">
        <v>10</v>
      </c>
      <c r="H147" s="10"/>
      <c r="I147" s="10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x14ac:dyDescent="0.2">
      <c r="A148" s="10">
        <v>21212</v>
      </c>
      <c r="B148" s="11">
        <v>42661</v>
      </c>
      <c r="C148" s="12">
        <v>22.200000000000003</v>
      </c>
      <c r="D148" s="12"/>
      <c r="E148" s="15" t="s">
        <v>21</v>
      </c>
      <c r="F148" s="21"/>
      <c r="G148" s="22"/>
      <c r="H148" s="10"/>
      <c r="I148" s="10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x14ac:dyDescent="0.2">
      <c r="A149" s="10">
        <v>21213</v>
      </c>
      <c r="B149" s="11">
        <v>42661</v>
      </c>
      <c r="C149" s="12">
        <v>2.7</v>
      </c>
      <c r="D149" s="12">
        <v>0.21</v>
      </c>
      <c r="E149" s="13"/>
      <c r="F149" s="18"/>
      <c r="G149" s="19"/>
      <c r="H149" s="12"/>
      <c r="I149" s="10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x14ac:dyDescent="0.2">
      <c r="A150" s="10">
        <v>21214</v>
      </c>
      <c r="B150" s="11">
        <v>42661</v>
      </c>
      <c r="C150" s="12">
        <v>18</v>
      </c>
      <c r="D150" s="12">
        <v>1.37</v>
      </c>
      <c r="E150" s="15" t="s">
        <v>11</v>
      </c>
      <c r="F150" s="21"/>
      <c r="G150" s="22"/>
      <c r="H150" s="10"/>
      <c r="I150" s="10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x14ac:dyDescent="0.2">
      <c r="A151" s="10">
        <v>21215</v>
      </c>
      <c r="B151" s="11">
        <v>42661</v>
      </c>
      <c r="C151" s="12">
        <v>20</v>
      </c>
      <c r="D151" s="12">
        <v>1.52</v>
      </c>
      <c r="E151" s="17"/>
      <c r="F151" s="20">
        <f>+C143+C150</f>
        <v>271.31</v>
      </c>
      <c r="G151" s="20">
        <v>269.62</v>
      </c>
      <c r="H151" s="12"/>
      <c r="I151" s="10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x14ac:dyDescent="0.2">
      <c r="A152" s="10">
        <v>21216</v>
      </c>
      <c r="B152" s="11">
        <v>42662</v>
      </c>
      <c r="C152" s="12">
        <v>279.83</v>
      </c>
      <c r="D152" s="12">
        <v>21.33</v>
      </c>
      <c r="E152" s="15" t="s">
        <v>11</v>
      </c>
      <c r="F152" s="21"/>
      <c r="G152" s="22"/>
      <c r="H152" s="10"/>
      <c r="I152" s="10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x14ac:dyDescent="0.2">
      <c r="A153" s="10">
        <v>21217</v>
      </c>
      <c r="B153" s="11">
        <v>42662</v>
      </c>
      <c r="C153" s="12">
        <v>37.89</v>
      </c>
      <c r="D153" s="12">
        <v>2.89</v>
      </c>
      <c r="E153" s="13"/>
      <c r="F153" s="18"/>
      <c r="G153" s="19"/>
      <c r="H153" s="12"/>
      <c r="I153" s="10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x14ac:dyDescent="0.2">
      <c r="A154" s="10">
        <v>21218</v>
      </c>
      <c r="B154" s="11">
        <v>42662</v>
      </c>
      <c r="C154" s="12">
        <v>189.4</v>
      </c>
      <c r="D154" s="12"/>
      <c r="E154" s="13" t="s">
        <v>279</v>
      </c>
      <c r="H154" s="12"/>
      <c r="I154" s="10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x14ac:dyDescent="0.2">
      <c r="A155" s="10">
        <v>21219</v>
      </c>
      <c r="B155" s="11">
        <v>42662</v>
      </c>
      <c r="C155" s="12">
        <v>32.479999999999997</v>
      </c>
      <c r="D155" s="12">
        <v>2.48</v>
      </c>
      <c r="E155" s="15" t="s">
        <v>803</v>
      </c>
      <c r="H155" s="10"/>
      <c r="I155" s="10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x14ac:dyDescent="0.2">
      <c r="A156" s="10">
        <v>21220</v>
      </c>
      <c r="B156" s="11">
        <v>42662</v>
      </c>
      <c r="C156" s="12">
        <v>90</v>
      </c>
      <c r="D156" s="12"/>
      <c r="E156" s="15" t="s">
        <v>791</v>
      </c>
      <c r="F156" s="21"/>
      <c r="G156" s="22"/>
      <c r="H156" s="10"/>
      <c r="I156" s="10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x14ac:dyDescent="0.2">
      <c r="A157" s="10">
        <v>21221</v>
      </c>
      <c r="B157" s="11">
        <v>42662</v>
      </c>
      <c r="C157" s="12">
        <v>37.69</v>
      </c>
      <c r="D157" s="12"/>
      <c r="E157" s="15" t="s">
        <v>801</v>
      </c>
      <c r="F157" s="21"/>
      <c r="G157" s="22"/>
      <c r="H157" s="10"/>
      <c r="I157" s="10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x14ac:dyDescent="0.2">
      <c r="A158" s="10">
        <v>21222</v>
      </c>
      <c r="B158" s="11">
        <v>42662</v>
      </c>
      <c r="C158" s="12">
        <v>262</v>
      </c>
      <c r="D158" s="12">
        <v>19.97</v>
      </c>
      <c r="E158" s="15" t="s">
        <v>804</v>
      </c>
      <c r="H158" s="10"/>
      <c r="I158" s="10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x14ac:dyDescent="0.2">
      <c r="A159" s="10">
        <v>21223</v>
      </c>
      <c r="B159" s="11">
        <v>42662</v>
      </c>
      <c r="C159" s="12">
        <v>190</v>
      </c>
      <c r="D159" s="12">
        <v>14.48</v>
      </c>
      <c r="E159" s="17"/>
      <c r="F159" s="18"/>
      <c r="G159" s="19"/>
      <c r="H159" s="12"/>
      <c r="I159" s="10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x14ac:dyDescent="0.2">
      <c r="A160" s="10">
        <v>21224</v>
      </c>
      <c r="B160" s="11">
        <v>42662</v>
      </c>
      <c r="C160" s="12">
        <v>42.22</v>
      </c>
      <c r="D160" s="12">
        <v>3.22</v>
      </c>
      <c r="E160" s="15" t="s">
        <v>7</v>
      </c>
      <c r="F160" s="21"/>
      <c r="G160" s="22"/>
      <c r="H160" s="10"/>
      <c r="I160" s="10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x14ac:dyDescent="0.2">
      <c r="A161" s="10">
        <v>21225</v>
      </c>
      <c r="B161" s="11">
        <v>42662</v>
      </c>
      <c r="C161" s="12">
        <v>18</v>
      </c>
      <c r="D161" s="12"/>
      <c r="E161" s="13" t="s">
        <v>791</v>
      </c>
      <c r="F161" s="20">
        <f>+C152+C160</f>
        <v>322.04999999999995</v>
      </c>
      <c r="G161" s="20">
        <v>314.17</v>
      </c>
      <c r="H161" s="12"/>
      <c r="I161" s="10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x14ac:dyDescent="0.2">
      <c r="A162" s="10">
        <v>21226</v>
      </c>
      <c r="B162" s="11">
        <v>42663</v>
      </c>
      <c r="C162" s="12">
        <v>38.43</v>
      </c>
      <c r="D162" s="12">
        <v>2.93</v>
      </c>
      <c r="E162" s="17"/>
      <c r="F162" s="18"/>
      <c r="G162" s="19"/>
      <c r="H162" s="12"/>
      <c r="I162" s="10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x14ac:dyDescent="0.2">
      <c r="A163" s="10">
        <v>21227</v>
      </c>
      <c r="B163" s="11">
        <v>42663</v>
      </c>
      <c r="C163" s="12">
        <v>19.489999999999998</v>
      </c>
      <c r="D163" s="12">
        <v>1.49</v>
      </c>
      <c r="E163" s="17"/>
      <c r="F163" s="18"/>
      <c r="G163" s="19"/>
      <c r="H163" s="12"/>
      <c r="I163" s="10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x14ac:dyDescent="0.2">
      <c r="A164" s="10">
        <v>21228</v>
      </c>
      <c r="B164" s="11">
        <v>42663</v>
      </c>
      <c r="C164" s="12">
        <v>14.02</v>
      </c>
      <c r="D164" s="12">
        <v>1.07</v>
      </c>
      <c r="E164" s="15" t="s">
        <v>11</v>
      </c>
      <c r="F164" s="21"/>
      <c r="G164" s="22"/>
      <c r="H164" s="10"/>
      <c r="I164" s="10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x14ac:dyDescent="0.2">
      <c r="A165" s="10">
        <v>21229</v>
      </c>
      <c r="B165" s="11">
        <v>42663</v>
      </c>
      <c r="C165" s="12">
        <v>85.9</v>
      </c>
      <c r="D165" s="12"/>
      <c r="E165" s="15" t="s">
        <v>441</v>
      </c>
      <c r="F165" s="21"/>
      <c r="G165" s="22"/>
      <c r="H165" s="10"/>
      <c r="I165" s="10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x14ac:dyDescent="0.2">
      <c r="A166" s="10">
        <v>21230</v>
      </c>
      <c r="B166" s="11">
        <v>42663</v>
      </c>
      <c r="C166" s="12">
        <v>116.25</v>
      </c>
      <c r="D166" s="12"/>
      <c r="E166" s="15" t="s">
        <v>441</v>
      </c>
      <c r="F166" s="21"/>
      <c r="G166" s="22"/>
      <c r="H166" s="10"/>
      <c r="I166" s="10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x14ac:dyDescent="0.2">
      <c r="A167" s="10">
        <v>21231</v>
      </c>
      <c r="B167" s="11">
        <v>42663</v>
      </c>
      <c r="C167" s="12">
        <v>109.5</v>
      </c>
      <c r="D167" s="12"/>
      <c r="E167" s="15" t="s">
        <v>441</v>
      </c>
      <c r="H167" s="10"/>
      <c r="I167" s="10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x14ac:dyDescent="0.2">
      <c r="A168" s="10">
        <v>21232</v>
      </c>
      <c r="B168" s="11">
        <v>42663</v>
      </c>
      <c r="C168" s="12">
        <v>162.5</v>
      </c>
      <c r="D168" s="12"/>
      <c r="E168" s="15"/>
      <c r="H168" s="10"/>
      <c r="I168" s="10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x14ac:dyDescent="0.2">
      <c r="A169" s="10">
        <v>21233</v>
      </c>
      <c r="B169" s="11">
        <v>42663</v>
      </c>
      <c r="C169" s="12">
        <v>20.57</v>
      </c>
      <c r="D169" s="12">
        <v>1.57</v>
      </c>
      <c r="E169" s="15" t="s">
        <v>533</v>
      </c>
      <c r="I169" s="10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x14ac:dyDescent="0.2">
      <c r="A170" s="10">
        <v>21234</v>
      </c>
      <c r="B170" s="11">
        <v>42663</v>
      </c>
      <c r="C170" s="12">
        <v>114</v>
      </c>
      <c r="D170" s="12">
        <v>8.69</v>
      </c>
      <c r="E170" s="15" t="s">
        <v>21</v>
      </c>
      <c r="I170" s="10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x14ac:dyDescent="0.2">
      <c r="A171" s="10">
        <v>21235</v>
      </c>
      <c r="B171" s="11">
        <v>42663</v>
      </c>
      <c r="C171" s="12">
        <v>44.6</v>
      </c>
      <c r="D171" s="12">
        <v>3.4</v>
      </c>
      <c r="E171" s="15" t="s">
        <v>533</v>
      </c>
      <c r="I171" s="10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x14ac:dyDescent="0.2">
      <c r="A172" s="10">
        <v>21236</v>
      </c>
      <c r="B172" s="11">
        <v>42663</v>
      </c>
      <c r="C172" s="12">
        <v>33.56</v>
      </c>
      <c r="D172" s="12">
        <v>2.56</v>
      </c>
      <c r="E172" s="15" t="s">
        <v>533</v>
      </c>
      <c r="F172" s="21"/>
      <c r="G172" s="22"/>
      <c r="H172" s="10"/>
      <c r="I172" s="10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x14ac:dyDescent="0.2">
      <c r="A173" s="10">
        <v>21237</v>
      </c>
      <c r="B173" s="11">
        <v>42663</v>
      </c>
      <c r="C173" s="12">
        <v>330.16</v>
      </c>
      <c r="D173" s="12">
        <v>25.16</v>
      </c>
      <c r="E173" s="15" t="s">
        <v>11</v>
      </c>
      <c r="F173" s="20">
        <f>32.48+C164+400+450+C173+119.08+54.13</f>
        <v>1399.8700000000001</v>
      </c>
      <c r="G173" s="20">
        <f>1324.1+46.96</f>
        <v>1371.06</v>
      </c>
      <c r="H173" s="114"/>
      <c r="I173" s="10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x14ac:dyDescent="0.2">
      <c r="A174" s="10">
        <v>21238</v>
      </c>
      <c r="B174" s="11">
        <v>42664</v>
      </c>
      <c r="C174" s="12">
        <v>188.15</v>
      </c>
      <c r="D174" s="12"/>
      <c r="E174" s="15" t="s">
        <v>441</v>
      </c>
      <c r="I174" s="10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x14ac:dyDescent="0.2">
      <c r="A175" s="10">
        <v>21239</v>
      </c>
      <c r="B175" s="11">
        <v>42664</v>
      </c>
      <c r="C175" s="12">
        <v>310</v>
      </c>
      <c r="D175" s="12"/>
      <c r="E175" s="15" t="s">
        <v>441</v>
      </c>
      <c r="I175" s="10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x14ac:dyDescent="0.2">
      <c r="A176" s="10">
        <v>21240</v>
      </c>
      <c r="B176" s="11">
        <v>42664</v>
      </c>
      <c r="C176" s="12">
        <v>64.95</v>
      </c>
      <c r="D176" s="12">
        <v>4.95</v>
      </c>
      <c r="E176" s="15" t="s">
        <v>11</v>
      </c>
      <c r="F176" s="21"/>
      <c r="G176" s="22"/>
      <c r="H176" s="10"/>
      <c r="I176" s="10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x14ac:dyDescent="0.2">
      <c r="A177" s="10">
        <v>21241</v>
      </c>
      <c r="B177" s="11">
        <v>42664</v>
      </c>
      <c r="C177" s="12">
        <v>51.53</v>
      </c>
      <c r="D177" s="12">
        <v>3.93</v>
      </c>
      <c r="E177" s="17"/>
      <c r="I177" s="10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x14ac:dyDescent="0.2">
      <c r="A178" s="10">
        <v>21242</v>
      </c>
      <c r="B178" s="11">
        <v>42664</v>
      </c>
      <c r="C178" s="12">
        <v>28.6</v>
      </c>
      <c r="D178" s="12"/>
      <c r="E178" s="15" t="s">
        <v>17</v>
      </c>
      <c r="I178" s="10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x14ac:dyDescent="0.2">
      <c r="A179" s="10">
        <v>21243</v>
      </c>
      <c r="B179" s="11">
        <v>42664</v>
      </c>
      <c r="C179" s="12">
        <v>130</v>
      </c>
      <c r="D179" s="12">
        <v>9.91</v>
      </c>
      <c r="E179" s="17"/>
      <c r="F179" s="18"/>
      <c r="G179" s="19"/>
      <c r="H179" s="12"/>
      <c r="I179" s="10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x14ac:dyDescent="0.2">
      <c r="A180" s="10">
        <v>21244</v>
      </c>
      <c r="B180" s="11">
        <v>42664</v>
      </c>
      <c r="C180" s="12">
        <v>283.07</v>
      </c>
      <c r="D180" s="12">
        <v>21.57</v>
      </c>
      <c r="E180" s="15" t="s">
        <v>11</v>
      </c>
      <c r="F180" s="21"/>
      <c r="G180" s="22"/>
      <c r="H180" s="10"/>
      <c r="I180" s="10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x14ac:dyDescent="0.2">
      <c r="A181" s="10">
        <v>21245</v>
      </c>
      <c r="B181" s="11">
        <v>42664</v>
      </c>
      <c r="C181" s="12">
        <v>130</v>
      </c>
      <c r="D181" s="12">
        <v>9.91</v>
      </c>
      <c r="E181" s="17"/>
      <c r="F181" s="18"/>
      <c r="G181" s="19"/>
      <c r="H181" s="12"/>
      <c r="I181" s="10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x14ac:dyDescent="0.2">
      <c r="A182" s="10">
        <v>21246</v>
      </c>
      <c r="B182" s="11">
        <v>42664</v>
      </c>
      <c r="C182" s="12">
        <v>82.22</v>
      </c>
      <c r="D182" s="12">
        <v>6.27</v>
      </c>
      <c r="E182" s="17"/>
      <c r="F182" s="18"/>
      <c r="G182" s="19"/>
      <c r="H182" s="12"/>
      <c r="I182" s="10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x14ac:dyDescent="0.2">
      <c r="A183" s="10">
        <v>21247</v>
      </c>
      <c r="B183" s="11">
        <v>42664</v>
      </c>
      <c r="C183" s="12">
        <v>81</v>
      </c>
      <c r="D183" s="12">
        <v>6.17</v>
      </c>
      <c r="E183" s="17"/>
      <c r="I183" s="10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x14ac:dyDescent="0.2">
      <c r="A184" s="10">
        <v>21248</v>
      </c>
      <c r="B184" s="11">
        <v>42664</v>
      </c>
      <c r="C184" s="12">
        <v>21.65</v>
      </c>
      <c r="D184" s="12">
        <v>1.65</v>
      </c>
      <c r="E184" s="17"/>
      <c r="F184" s="18"/>
      <c r="G184" s="19"/>
      <c r="H184" s="12"/>
      <c r="I184" s="10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x14ac:dyDescent="0.2">
      <c r="A185" s="10">
        <v>21249</v>
      </c>
      <c r="B185" s="11">
        <v>42664</v>
      </c>
      <c r="C185" s="12">
        <v>35</v>
      </c>
      <c r="D185" s="12">
        <v>2.67</v>
      </c>
      <c r="E185" s="17"/>
      <c r="F185" s="18"/>
      <c r="G185" s="19"/>
      <c r="H185" s="12"/>
      <c r="I185" s="10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x14ac:dyDescent="0.2">
      <c r="A186" s="10">
        <v>21250</v>
      </c>
      <c r="B186" s="11">
        <v>42664</v>
      </c>
      <c r="C186" s="12">
        <v>42.22</v>
      </c>
      <c r="D186" s="12">
        <v>3.22</v>
      </c>
      <c r="E186" s="17"/>
      <c r="F186" s="18"/>
      <c r="G186" s="19"/>
      <c r="H186" s="12"/>
      <c r="I186" s="10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x14ac:dyDescent="0.2">
      <c r="A187" s="10">
        <v>21251</v>
      </c>
      <c r="B187" s="11">
        <v>42664</v>
      </c>
      <c r="C187" s="12">
        <v>8.66</v>
      </c>
      <c r="D187" s="12">
        <v>0.66</v>
      </c>
      <c r="E187" s="17"/>
      <c r="I187" s="10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x14ac:dyDescent="0.2">
      <c r="A188" s="10">
        <v>21252</v>
      </c>
      <c r="B188" s="11">
        <v>42664</v>
      </c>
      <c r="C188" s="12">
        <v>10.83</v>
      </c>
      <c r="D188" s="12">
        <v>0.83</v>
      </c>
      <c r="E188" s="15" t="s">
        <v>11</v>
      </c>
      <c r="I188" s="10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x14ac:dyDescent="0.2">
      <c r="A189" s="10">
        <v>21253</v>
      </c>
      <c r="B189" s="11">
        <v>42664</v>
      </c>
      <c r="C189" s="12">
        <v>8.66</v>
      </c>
      <c r="D189" s="12">
        <v>0.66</v>
      </c>
      <c r="E189" s="17"/>
      <c r="F189" s="18"/>
      <c r="G189" s="19"/>
      <c r="H189" s="12"/>
      <c r="I189" s="10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x14ac:dyDescent="0.2">
      <c r="A190" s="10">
        <v>21254</v>
      </c>
      <c r="B190" s="11">
        <v>42664</v>
      </c>
      <c r="C190" s="12">
        <v>52.8</v>
      </c>
      <c r="D190" s="12"/>
      <c r="E190" s="15" t="s">
        <v>441</v>
      </c>
      <c r="F190" s="21"/>
      <c r="G190" s="22"/>
      <c r="H190" s="10"/>
      <c r="I190" s="10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x14ac:dyDescent="0.2">
      <c r="A191" s="10">
        <v>21255</v>
      </c>
      <c r="B191" s="11">
        <v>42664</v>
      </c>
      <c r="C191" s="12">
        <v>171.04</v>
      </c>
      <c r="D191" s="12">
        <v>13.04</v>
      </c>
      <c r="E191" s="15" t="s">
        <v>533</v>
      </c>
      <c r="F191" s="21"/>
      <c r="G191" s="22"/>
      <c r="H191" s="10"/>
      <c r="I191" s="10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x14ac:dyDescent="0.2">
      <c r="A192" s="10">
        <v>21256</v>
      </c>
      <c r="B192" s="11">
        <v>42664</v>
      </c>
      <c r="C192" s="12">
        <v>150</v>
      </c>
      <c r="D192" s="12">
        <v>11.43</v>
      </c>
      <c r="E192" s="17"/>
      <c r="F192" s="20">
        <f>+C176+140+C188+C178+228.76</f>
        <v>473.14</v>
      </c>
      <c r="G192" s="20">
        <f>241.69+198.45</f>
        <v>440.14</v>
      </c>
      <c r="H192" s="114"/>
      <c r="I192" s="10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x14ac:dyDescent="0.2">
      <c r="A193" s="10">
        <v>21257</v>
      </c>
      <c r="B193" s="11">
        <v>42665</v>
      </c>
      <c r="C193" s="12">
        <v>118</v>
      </c>
      <c r="D193" s="12">
        <v>9</v>
      </c>
      <c r="E193" s="17"/>
      <c r="F193" s="18"/>
      <c r="G193" s="19"/>
      <c r="H193" s="12"/>
      <c r="I193" s="10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x14ac:dyDescent="0.2">
      <c r="A194" s="10">
        <v>21258</v>
      </c>
      <c r="B194" s="11">
        <v>42665</v>
      </c>
      <c r="C194" s="12">
        <v>16.239999999999998</v>
      </c>
      <c r="D194" s="12">
        <v>1.24</v>
      </c>
      <c r="E194" s="17"/>
      <c r="F194" s="18"/>
      <c r="G194" s="19"/>
      <c r="H194" s="12"/>
      <c r="I194" s="10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x14ac:dyDescent="0.2">
      <c r="A195" s="10">
        <v>21259</v>
      </c>
      <c r="B195" s="11">
        <v>42665</v>
      </c>
      <c r="C195" s="12">
        <v>80.11</v>
      </c>
      <c r="D195" s="12">
        <v>6.11</v>
      </c>
      <c r="E195" s="15" t="s">
        <v>11</v>
      </c>
      <c r="F195" s="21"/>
      <c r="G195" s="22"/>
      <c r="H195" s="10"/>
      <c r="I195" s="10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x14ac:dyDescent="0.2">
      <c r="A196" s="10">
        <v>21260</v>
      </c>
      <c r="B196" s="11">
        <v>42665</v>
      </c>
      <c r="C196" s="12">
        <v>76.86</v>
      </c>
      <c r="D196" s="12">
        <v>5.86</v>
      </c>
      <c r="E196" s="13"/>
      <c r="F196" s="18"/>
      <c r="G196" s="19"/>
      <c r="H196" s="12"/>
      <c r="I196" s="10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x14ac:dyDescent="0.2">
      <c r="A197" s="10">
        <v>21261</v>
      </c>
      <c r="B197" s="11">
        <v>42665</v>
      </c>
      <c r="C197" s="12">
        <v>5.41</v>
      </c>
      <c r="D197" s="12">
        <v>0.41</v>
      </c>
      <c r="E197" s="13"/>
      <c r="F197" s="18"/>
      <c r="G197" s="19"/>
      <c r="H197" s="12"/>
      <c r="I197" s="10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x14ac:dyDescent="0.2">
      <c r="A198" s="10">
        <v>21262</v>
      </c>
      <c r="B198" s="11">
        <v>42665</v>
      </c>
      <c r="C198" s="12">
        <v>310.14</v>
      </c>
      <c r="D198" s="12">
        <v>23.64</v>
      </c>
      <c r="E198" s="13"/>
      <c r="F198" s="115"/>
      <c r="G198" s="19"/>
      <c r="H198" s="12"/>
      <c r="I198" s="10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x14ac:dyDescent="0.2">
      <c r="A199" s="10">
        <v>21263</v>
      </c>
      <c r="B199" s="11">
        <v>42665</v>
      </c>
      <c r="C199" s="12">
        <v>11</v>
      </c>
      <c r="D199" s="12">
        <v>0.84</v>
      </c>
      <c r="E199" s="15" t="s">
        <v>7</v>
      </c>
      <c r="I199" s="10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x14ac:dyDescent="0.2">
      <c r="A200" s="10">
        <v>21264</v>
      </c>
      <c r="B200" s="11">
        <v>42665</v>
      </c>
      <c r="C200" s="12">
        <v>118</v>
      </c>
      <c r="D200" s="12">
        <v>8.99</v>
      </c>
      <c r="E200" s="17"/>
      <c r="I200" s="10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x14ac:dyDescent="0.2">
      <c r="A201" s="10">
        <v>21265</v>
      </c>
      <c r="B201" s="11">
        <v>42665</v>
      </c>
      <c r="C201" s="12">
        <v>15</v>
      </c>
      <c r="D201" s="12">
        <v>1.1399999999999999</v>
      </c>
      <c r="E201" s="17"/>
      <c r="I201" s="10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x14ac:dyDescent="0.2">
      <c r="A202" s="10">
        <v>21266</v>
      </c>
      <c r="B202" s="11">
        <v>42665</v>
      </c>
      <c r="C202" s="12">
        <v>271.17</v>
      </c>
      <c r="D202" s="12">
        <v>20.67</v>
      </c>
      <c r="E202" s="15" t="s">
        <v>21</v>
      </c>
      <c r="F202" s="21"/>
      <c r="G202" s="22"/>
      <c r="H202" s="10"/>
      <c r="I202" s="10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x14ac:dyDescent="0.2">
      <c r="A203" s="10">
        <v>21267</v>
      </c>
      <c r="B203" s="11">
        <v>42665</v>
      </c>
      <c r="C203" s="12">
        <v>10</v>
      </c>
      <c r="D203" s="12"/>
      <c r="E203" s="13" t="s">
        <v>791</v>
      </c>
      <c r="I203" s="10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x14ac:dyDescent="0.2">
      <c r="A204" s="10">
        <v>21268</v>
      </c>
      <c r="B204" s="11">
        <v>42665</v>
      </c>
      <c r="C204" s="12">
        <v>11</v>
      </c>
      <c r="D204" s="12">
        <v>0.84</v>
      </c>
      <c r="E204" s="17"/>
      <c r="I204" s="10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x14ac:dyDescent="0.2">
      <c r="A205" s="10">
        <v>21269</v>
      </c>
      <c r="B205" s="11">
        <v>42665</v>
      </c>
      <c r="C205" s="12">
        <v>2.7</v>
      </c>
      <c r="D205" s="12">
        <v>0.21</v>
      </c>
      <c r="E205" s="15" t="s">
        <v>11</v>
      </c>
      <c r="F205" s="20">
        <f>30.14+C195+C199+C205+50</f>
        <v>173.95</v>
      </c>
      <c r="G205" s="20">
        <f>120.95+43.37</f>
        <v>164.32</v>
      </c>
      <c r="H205" s="114"/>
      <c r="I205" s="10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x14ac:dyDescent="0.2">
      <c r="A206" s="10">
        <v>21270</v>
      </c>
      <c r="B206" s="11">
        <v>42667</v>
      </c>
      <c r="C206" s="12">
        <v>156.96</v>
      </c>
      <c r="D206" s="12">
        <v>11.96</v>
      </c>
      <c r="E206" s="15" t="s">
        <v>11</v>
      </c>
      <c r="F206" s="21"/>
      <c r="G206" s="22"/>
      <c r="H206" s="10"/>
      <c r="I206" s="10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x14ac:dyDescent="0.2">
      <c r="A207" s="10">
        <v>21271</v>
      </c>
      <c r="B207" s="11">
        <v>42667</v>
      </c>
      <c r="C207" s="12">
        <v>67.12</v>
      </c>
      <c r="D207" s="12">
        <v>5.12</v>
      </c>
      <c r="E207" s="15" t="s">
        <v>533</v>
      </c>
      <c r="I207" s="10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x14ac:dyDescent="0.2">
      <c r="A208" s="10">
        <v>21272</v>
      </c>
      <c r="B208" s="11">
        <v>42667</v>
      </c>
      <c r="C208" s="12">
        <v>16.239999999999998</v>
      </c>
      <c r="D208" s="12">
        <v>1.24</v>
      </c>
      <c r="E208" s="15" t="s">
        <v>11</v>
      </c>
      <c r="F208" s="21"/>
      <c r="G208" s="22"/>
      <c r="H208" s="10"/>
      <c r="I208" s="10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x14ac:dyDescent="0.2">
      <c r="A209" s="10">
        <v>21273</v>
      </c>
      <c r="B209" s="11">
        <v>42667</v>
      </c>
      <c r="C209" s="12">
        <v>35.67</v>
      </c>
      <c r="D209" s="12">
        <v>2.72</v>
      </c>
      <c r="E209" s="17"/>
      <c r="F209" s="18"/>
      <c r="G209" s="19"/>
      <c r="H209" s="12"/>
      <c r="I209" s="10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x14ac:dyDescent="0.2">
      <c r="A210" s="10">
        <v>21274</v>
      </c>
      <c r="B210" s="11">
        <v>42667</v>
      </c>
      <c r="C210" s="12">
        <v>408.64</v>
      </c>
      <c r="D210" s="12">
        <v>31.14</v>
      </c>
      <c r="E210" s="13" t="s">
        <v>805</v>
      </c>
      <c r="F210" s="20">
        <f>+C206+C208+67.12</f>
        <v>240.32000000000002</v>
      </c>
      <c r="G210" s="20">
        <f>168.76+58.22</f>
        <v>226.98</v>
      </c>
      <c r="H210" s="114"/>
      <c r="I210" s="10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x14ac:dyDescent="0.2">
      <c r="A211" s="10">
        <v>21275</v>
      </c>
      <c r="B211" s="11">
        <v>42668</v>
      </c>
      <c r="C211" s="12">
        <v>114.75</v>
      </c>
      <c r="D211" s="12">
        <v>8.75</v>
      </c>
      <c r="E211" s="17"/>
      <c r="F211" s="18"/>
      <c r="G211" s="19"/>
      <c r="H211" s="12"/>
      <c r="I211" s="10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x14ac:dyDescent="0.2">
      <c r="A212" s="10">
        <v>21276</v>
      </c>
      <c r="B212" s="11">
        <v>42668</v>
      </c>
      <c r="C212" s="12">
        <v>117.99</v>
      </c>
      <c r="D212" s="12">
        <v>8.99</v>
      </c>
      <c r="E212" s="15" t="s">
        <v>21</v>
      </c>
      <c r="F212" s="21"/>
      <c r="G212" s="22"/>
      <c r="H212" s="10"/>
      <c r="I212" s="10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x14ac:dyDescent="0.2">
      <c r="A213" s="10">
        <v>21277</v>
      </c>
      <c r="B213" s="11">
        <v>42668</v>
      </c>
      <c r="C213" s="12">
        <v>11</v>
      </c>
      <c r="D213" s="12">
        <v>0.84</v>
      </c>
      <c r="E213" s="15" t="s">
        <v>11</v>
      </c>
      <c r="F213" s="21"/>
      <c r="G213" s="22"/>
      <c r="H213" s="10"/>
      <c r="I213" s="10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x14ac:dyDescent="0.2">
      <c r="A214" s="10">
        <v>21278</v>
      </c>
      <c r="B214" s="11">
        <v>42668</v>
      </c>
      <c r="C214" s="12">
        <v>212.12</v>
      </c>
      <c r="D214" s="12">
        <v>16.170000000000002</v>
      </c>
      <c r="E214" s="15" t="s">
        <v>11</v>
      </c>
      <c r="H214" s="10"/>
      <c r="I214" s="10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x14ac:dyDescent="0.2">
      <c r="A215" s="10">
        <v>21279</v>
      </c>
      <c r="B215" s="11">
        <v>42668</v>
      </c>
      <c r="C215" s="12">
        <v>21.65</v>
      </c>
      <c r="D215" s="12">
        <v>1.65</v>
      </c>
      <c r="E215" s="17"/>
      <c r="F215" s="18"/>
      <c r="G215" s="19"/>
      <c r="H215" s="12"/>
      <c r="I215" s="10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x14ac:dyDescent="0.2">
      <c r="A216" s="10">
        <v>21280</v>
      </c>
      <c r="B216" s="11">
        <v>42668</v>
      </c>
      <c r="C216" s="12">
        <v>53.04</v>
      </c>
      <c r="D216" s="12">
        <v>4.04</v>
      </c>
      <c r="E216" s="17"/>
      <c r="F216" s="18"/>
      <c r="G216" s="19"/>
      <c r="H216" s="12"/>
      <c r="I216" s="10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x14ac:dyDescent="0.2">
      <c r="A217" s="10">
        <v>21281</v>
      </c>
      <c r="B217" s="11">
        <v>42668</v>
      </c>
      <c r="C217" s="12">
        <v>386.45</v>
      </c>
      <c r="D217" s="12">
        <v>29.45</v>
      </c>
      <c r="E217" s="15" t="s">
        <v>21</v>
      </c>
      <c r="F217" s="21"/>
      <c r="G217" s="22"/>
      <c r="H217" s="10"/>
      <c r="I217" s="10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x14ac:dyDescent="0.2">
      <c r="A218" s="10">
        <v>21282</v>
      </c>
      <c r="B218" s="11">
        <v>42668</v>
      </c>
      <c r="C218" s="12">
        <v>106</v>
      </c>
      <c r="D218" s="12"/>
      <c r="E218" s="15" t="s">
        <v>533</v>
      </c>
      <c r="F218" s="21"/>
      <c r="G218" s="22"/>
      <c r="H218" s="10"/>
      <c r="I218" s="10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x14ac:dyDescent="0.2">
      <c r="A219" s="10">
        <v>21283</v>
      </c>
      <c r="B219" s="11">
        <v>42668</v>
      </c>
      <c r="C219" s="12">
        <v>350</v>
      </c>
      <c r="D219" s="12">
        <v>26.67</v>
      </c>
      <c r="E219" s="15" t="s">
        <v>11</v>
      </c>
      <c r="F219" s="21"/>
      <c r="G219" s="22"/>
      <c r="H219" s="10"/>
      <c r="I219" s="10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x14ac:dyDescent="0.2">
      <c r="A220" s="10">
        <v>21284</v>
      </c>
      <c r="B220" s="11">
        <v>42668</v>
      </c>
      <c r="C220" s="12">
        <v>25</v>
      </c>
      <c r="D220" s="12"/>
      <c r="E220" s="15" t="s">
        <v>21</v>
      </c>
      <c r="F220" s="21"/>
      <c r="G220" s="22"/>
      <c r="H220" s="10"/>
      <c r="I220" s="10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x14ac:dyDescent="0.2">
      <c r="A221" s="10">
        <v>21285</v>
      </c>
      <c r="B221" s="11">
        <v>42668</v>
      </c>
      <c r="C221" s="12">
        <v>49</v>
      </c>
      <c r="D221" s="12"/>
      <c r="E221" s="17"/>
      <c r="F221" s="20">
        <f>+C213+C214+C219+106</f>
        <v>679.12</v>
      </c>
      <c r="G221" s="20">
        <f>563.23+99.76</f>
        <v>662.99</v>
      </c>
      <c r="H221" s="114"/>
      <c r="I221" s="10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x14ac:dyDescent="0.2">
      <c r="A222" s="10">
        <v>21286</v>
      </c>
      <c r="B222" s="11">
        <v>42669</v>
      </c>
      <c r="C222" s="12">
        <v>292</v>
      </c>
      <c r="D222" s="12">
        <v>22.25</v>
      </c>
      <c r="E222" s="17"/>
      <c r="H222" s="12"/>
      <c r="I222" s="10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x14ac:dyDescent="0.2">
      <c r="A223" s="10">
        <v>21287</v>
      </c>
      <c r="B223" s="11">
        <v>42669</v>
      </c>
      <c r="C223" s="12">
        <v>499</v>
      </c>
      <c r="D223" s="12">
        <v>38.03</v>
      </c>
      <c r="E223" s="15" t="s">
        <v>289</v>
      </c>
      <c r="F223" s="21"/>
      <c r="G223" s="22"/>
      <c r="H223" s="10"/>
      <c r="I223" s="10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x14ac:dyDescent="0.2">
      <c r="A224" s="10">
        <v>21288</v>
      </c>
      <c r="B224" s="11">
        <v>42669</v>
      </c>
      <c r="C224" s="12">
        <v>246.27</v>
      </c>
      <c r="D224" s="12">
        <v>18.77</v>
      </c>
      <c r="E224" s="15" t="s">
        <v>7</v>
      </c>
      <c r="H224" s="10"/>
      <c r="I224" s="10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x14ac:dyDescent="0.2">
      <c r="A225" s="10">
        <v>21289</v>
      </c>
      <c r="B225" s="11">
        <v>42669</v>
      </c>
      <c r="C225" s="12">
        <v>453.03</v>
      </c>
      <c r="D225" s="12">
        <v>34.53</v>
      </c>
      <c r="E225" s="15"/>
      <c r="F225" s="21"/>
      <c r="G225" s="22"/>
      <c r="H225" s="10"/>
      <c r="I225" s="10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x14ac:dyDescent="0.2">
      <c r="A226" s="10">
        <v>21290</v>
      </c>
      <c r="B226" s="11">
        <v>42669</v>
      </c>
      <c r="C226" s="12">
        <v>10.83</v>
      </c>
      <c r="D226" s="12">
        <v>0.83</v>
      </c>
      <c r="E226" s="15" t="s">
        <v>21</v>
      </c>
      <c r="F226" s="21"/>
      <c r="G226" s="22"/>
      <c r="H226" s="10"/>
      <c r="I226" s="10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x14ac:dyDescent="0.2">
      <c r="A227" s="10">
        <v>21291</v>
      </c>
      <c r="B227" s="11">
        <v>42669</v>
      </c>
      <c r="C227" s="12">
        <v>128</v>
      </c>
      <c r="D227" s="12"/>
      <c r="E227" s="13" t="s">
        <v>806</v>
      </c>
      <c r="H227" s="12"/>
      <c r="I227" s="10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x14ac:dyDescent="0.2">
      <c r="A228" s="10">
        <v>21292</v>
      </c>
      <c r="B228" s="11">
        <v>42669</v>
      </c>
      <c r="C228" s="12">
        <v>135</v>
      </c>
      <c r="D228" s="12"/>
      <c r="E228" s="15" t="s">
        <v>807</v>
      </c>
      <c r="H228" s="10"/>
      <c r="I228" s="10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x14ac:dyDescent="0.2">
      <c r="A229" s="10">
        <v>21293</v>
      </c>
      <c r="B229" s="11">
        <v>42669</v>
      </c>
      <c r="C229" s="12">
        <v>345.00000000000006</v>
      </c>
      <c r="D229" s="12">
        <v>26.29</v>
      </c>
      <c r="E229" s="17"/>
      <c r="H229" s="12"/>
      <c r="I229" s="10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x14ac:dyDescent="0.2">
      <c r="A230" s="10">
        <v>21294</v>
      </c>
      <c r="B230" s="11">
        <v>42669</v>
      </c>
      <c r="C230" s="12">
        <v>324</v>
      </c>
      <c r="D230" s="12">
        <v>24.69</v>
      </c>
      <c r="E230" s="17"/>
      <c r="F230" s="18"/>
      <c r="G230" s="19"/>
      <c r="H230" s="12"/>
      <c r="I230" s="10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x14ac:dyDescent="0.2">
      <c r="A231" s="10">
        <v>21295</v>
      </c>
      <c r="B231" s="11">
        <v>42669</v>
      </c>
      <c r="C231" s="12">
        <v>11</v>
      </c>
      <c r="D231" s="12">
        <v>0.84</v>
      </c>
      <c r="E231" s="17"/>
      <c r="F231" s="18"/>
      <c r="G231" s="19"/>
      <c r="H231" s="12"/>
      <c r="I231" s="10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x14ac:dyDescent="0.2">
      <c r="A232" s="10">
        <v>21296</v>
      </c>
      <c r="B232" s="11">
        <v>42669</v>
      </c>
      <c r="C232" s="12">
        <v>38.97</v>
      </c>
      <c r="D232" s="12">
        <v>2.97</v>
      </c>
      <c r="E232" s="17"/>
      <c r="H232" s="12"/>
      <c r="I232" s="10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x14ac:dyDescent="0.2">
      <c r="A233" s="10">
        <v>21297</v>
      </c>
      <c r="B233" s="11">
        <v>42669</v>
      </c>
      <c r="C233" s="12">
        <v>152</v>
      </c>
      <c r="D233" s="12"/>
      <c r="E233" s="13" t="s">
        <v>806</v>
      </c>
      <c r="F233" s="20">
        <f>+C224</f>
        <v>246.27</v>
      </c>
      <c r="G233" s="20">
        <v>239.94</v>
      </c>
      <c r="H233" s="12"/>
      <c r="I233" s="10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x14ac:dyDescent="0.2">
      <c r="A234" s="10">
        <v>21298</v>
      </c>
      <c r="B234" s="11">
        <v>42670</v>
      </c>
      <c r="C234" s="12">
        <v>-20</v>
      </c>
      <c r="D234" s="12"/>
      <c r="E234" s="13" t="s">
        <v>806</v>
      </c>
      <c r="F234" s="21"/>
      <c r="G234" s="22"/>
      <c r="H234" s="10"/>
      <c r="I234" s="10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x14ac:dyDescent="0.2">
      <c r="A235" s="10">
        <v>21299</v>
      </c>
      <c r="B235" s="11">
        <v>42670</v>
      </c>
      <c r="C235" s="12">
        <v>8.5</v>
      </c>
      <c r="D235" s="12"/>
      <c r="E235" s="13" t="s">
        <v>19</v>
      </c>
      <c r="F235" s="18"/>
      <c r="G235" s="19"/>
      <c r="H235" s="12"/>
      <c r="I235" s="10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x14ac:dyDescent="0.2">
      <c r="A236" s="10">
        <v>21300</v>
      </c>
      <c r="B236" s="11">
        <v>42670</v>
      </c>
      <c r="C236" s="12">
        <v>2.17</v>
      </c>
      <c r="D236" s="12">
        <v>0.17</v>
      </c>
      <c r="E236" s="17"/>
      <c r="F236" s="18"/>
      <c r="G236" s="19"/>
      <c r="H236" s="12"/>
      <c r="I236" s="10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x14ac:dyDescent="0.2">
      <c r="A237" s="10">
        <v>21301</v>
      </c>
      <c r="B237" s="11">
        <v>42670</v>
      </c>
      <c r="C237" s="12">
        <v>602.95000000000005</v>
      </c>
      <c r="D237" s="12">
        <v>45.95</v>
      </c>
      <c r="E237" s="15" t="s">
        <v>808</v>
      </c>
      <c r="H237" s="10"/>
      <c r="I237" s="10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x14ac:dyDescent="0.2">
      <c r="A238" s="10">
        <v>21302</v>
      </c>
      <c r="B238" s="11">
        <v>42670</v>
      </c>
      <c r="C238" s="12">
        <v>87.68</v>
      </c>
      <c r="D238" s="12">
        <v>6.68</v>
      </c>
      <c r="E238" s="15" t="s">
        <v>11</v>
      </c>
      <c r="F238" s="21"/>
      <c r="G238" s="22"/>
      <c r="H238" s="10"/>
      <c r="I238" s="10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x14ac:dyDescent="0.2">
      <c r="A239" s="10">
        <v>21303</v>
      </c>
      <c r="B239" s="11">
        <v>42670</v>
      </c>
      <c r="C239" s="12">
        <v>1.62</v>
      </c>
      <c r="D239" s="12">
        <v>0.12</v>
      </c>
      <c r="E239" s="15" t="s">
        <v>11</v>
      </c>
      <c r="F239" s="21"/>
      <c r="G239" s="22"/>
      <c r="H239" s="10"/>
      <c r="I239" s="10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x14ac:dyDescent="0.2">
      <c r="A240" s="10">
        <v>21304</v>
      </c>
      <c r="B240" s="11">
        <v>42670</v>
      </c>
      <c r="C240" s="12">
        <v>28.5</v>
      </c>
      <c r="D240" s="12"/>
      <c r="E240" s="15" t="s">
        <v>11</v>
      </c>
      <c r="F240" s="21"/>
      <c r="G240" s="22"/>
      <c r="H240" s="10"/>
      <c r="I240" s="10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x14ac:dyDescent="0.2">
      <c r="A241" s="10">
        <v>21305</v>
      </c>
      <c r="B241" s="11">
        <v>42670</v>
      </c>
      <c r="C241" s="12">
        <v>5</v>
      </c>
      <c r="D241" s="12">
        <v>0.38</v>
      </c>
      <c r="E241" s="13"/>
      <c r="F241" s="18"/>
      <c r="G241" s="19"/>
      <c r="H241" s="12"/>
      <c r="I241" s="10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x14ac:dyDescent="0.2">
      <c r="A242" s="10">
        <v>21306</v>
      </c>
      <c r="B242" s="11">
        <v>42670</v>
      </c>
      <c r="C242" s="12">
        <v>256.55</v>
      </c>
      <c r="D242" s="12">
        <v>19.55</v>
      </c>
      <c r="E242" s="13"/>
      <c r="F242" s="20"/>
      <c r="G242" s="20"/>
      <c r="H242" s="12"/>
      <c r="I242" s="10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x14ac:dyDescent="0.2">
      <c r="A243" s="10">
        <v>21307</v>
      </c>
      <c r="B243" s="11">
        <v>42670</v>
      </c>
      <c r="C243" s="12">
        <v>10.83</v>
      </c>
      <c r="D243" s="12">
        <v>0.83</v>
      </c>
      <c r="E243" s="15" t="s">
        <v>7</v>
      </c>
      <c r="F243" s="20">
        <f>+C238+C239+C240+C243</f>
        <v>128.63000000000002</v>
      </c>
      <c r="G243" s="20">
        <v>126.95</v>
      </c>
      <c r="H243" s="10"/>
      <c r="I243" s="10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x14ac:dyDescent="0.2">
      <c r="A244" s="10">
        <v>21308</v>
      </c>
      <c r="B244" s="11">
        <v>42671</v>
      </c>
      <c r="C244" s="12">
        <v>60.460000000000008</v>
      </c>
      <c r="D244" s="12">
        <v>4.6100000000000003</v>
      </c>
      <c r="E244" s="17"/>
      <c r="F244" s="18"/>
      <c r="G244" s="19"/>
      <c r="H244" s="12"/>
      <c r="I244" s="10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x14ac:dyDescent="0.2">
      <c r="A245" s="10">
        <v>21309</v>
      </c>
      <c r="B245" s="11">
        <v>42671</v>
      </c>
      <c r="C245" s="12"/>
      <c r="D245" s="12"/>
      <c r="E245" s="13" t="s">
        <v>809</v>
      </c>
      <c r="F245" s="18"/>
      <c r="G245" s="19"/>
      <c r="H245" s="12"/>
      <c r="I245" s="10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x14ac:dyDescent="0.2">
      <c r="A246" s="10">
        <v>21310</v>
      </c>
      <c r="B246" s="11">
        <v>42671</v>
      </c>
      <c r="C246" s="12">
        <v>12.99</v>
      </c>
      <c r="D246" s="12">
        <v>0.99</v>
      </c>
      <c r="E246" s="15" t="s">
        <v>11</v>
      </c>
      <c r="H246" s="10"/>
      <c r="I246" s="10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x14ac:dyDescent="0.2">
      <c r="A247" s="10">
        <v>21311</v>
      </c>
      <c r="B247" s="11">
        <v>42671</v>
      </c>
      <c r="C247" s="12">
        <v>487.13</v>
      </c>
      <c r="D247" s="12">
        <v>37.130000000000003</v>
      </c>
      <c r="E247" s="15" t="s">
        <v>810</v>
      </c>
      <c r="F247" s="21"/>
      <c r="G247" s="22"/>
      <c r="H247" s="10"/>
      <c r="I247" s="10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x14ac:dyDescent="0.2">
      <c r="A248" s="10">
        <v>21312</v>
      </c>
      <c r="B248" s="11">
        <v>42671</v>
      </c>
      <c r="C248" s="12">
        <v>42.22</v>
      </c>
      <c r="D248" s="12">
        <v>3.22</v>
      </c>
      <c r="E248" s="15" t="s">
        <v>11</v>
      </c>
      <c r="H248" s="10"/>
      <c r="I248" s="10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x14ac:dyDescent="0.2">
      <c r="A249" s="10">
        <v>21313</v>
      </c>
      <c r="B249" s="11">
        <v>42671</v>
      </c>
      <c r="C249" s="12">
        <v>10.83</v>
      </c>
      <c r="D249" s="12">
        <v>0.83</v>
      </c>
      <c r="E249" s="17"/>
      <c r="F249" s="18"/>
      <c r="G249" s="19"/>
      <c r="H249" s="12"/>
      <c r="I249" s="10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x14ac:dyDescent="0.2">
      <c r="A250" s="10">
        <v>21314</v>
      </c>
      <c r="B250" s="11">
        <v>42671</v>
      </c>
      <c r="C250" s="12">
        <v>20.57</v>
      </c>
      <c r="D250" s="12">
        <v>1.57</v>
      </c>
      <c r="E250" s="15" t="s">
        <v>11</v>
      </c>
      <c r="F250" s="20">
        <f>+C246+200+C248+C250</f>
        <v>275.78000000000003</v>
      </c>
      <c r="G250" s="20">
        <v>271.8</v>
      </c>
      <c r="H250" s="10"/>
      <c r="I250" s="10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x14ac:dyDescent="0.2">
      <c r="A251" s="10">
        <v>21315</v>
      </c>
      <c r="B251" s="11">
        <v>42672</v>
      </c>
      <c r="C251" s="12">
        <v>64.95</v>
      </c>
      <c r="D251" s="12">
        <v>4.95</v>
      </c>
      <c r="E251" s="15" t="s">
        <v>21</v>
      </c>
      <c r="F251" s="206"/>
      <c r="G251" s="206"/>
      <c r="H251" s="10"/>
      <c r="I251" s="10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x14ac:dyDescent="0.2">
      <c r="A252" s="10">
        <v>21316</v>
      </c>
      <c r="B252" s="11">
        <v>42672</v>
      </c>
      <c r="C252" s="12">
        <v>37.89</v>
      </c>
      <c r="D252" s="12">
        <v>2.89</v>
      </c>
      <c r="E252" s="13"/>
      <c r="F252" s="20"/>
      <c r="G252" s="20"/>
      <c r="H252" s="12"/>
      <c r="I252" s="10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x14ac:dyDescent="0.2">
      <c r="A253" s="10">
        <v>21317</v>
      </c>
      <c r="B253" s="11">
        <v>42672</v>
      </c>
      <c r="C253" s="12">
        <v>156.96</v>
      </c>
      <c r="D253" s="12">
        <v>11.96</v>
      </c>
      <c r="E253" s="15" t="s">
        <v>7</v>
      </c>
      <c r="F253" s="206"/>
      <c r="G253" s="206"/>
      <c r="H253" s="10"/>
      <c r="I253" s="10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x14ac:dyDescent="0.2">
      <c r="A254" s="10">
        <v>21318</v>
      </c>
      <c r="B254" s="11">
        <v>42672</v>
      </c>
      <c r="C254" s="12">
        <v>23.82</v>
      </c>
      <c r="D254" s="12">
        <v>1.82</v>
      </c>
      <c r="E254" s="13"/>
      <c r="F254" s="20"/>
      <c r="G254" s="20"/>
      <c r="H254" s="12"/>
      <c r="I254" s="10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x14ac:dyDescent="0.2">
      <c r="A255" s="10">
        <v>21319</v>
      </c>
      <c r="B255" s="11">
        <v>42672</v>
      </c>
      <c r="C255" s="12">
        <v>119.08</v>
      </c>
      <c r="D255" s="12">
        <v>9.08</v>
      </c>
      <c r="E255" s="13"/>
      <c r="F255" s="20"/>
      <c r="G255" s="20"/>
      <c r="H255" s="12"/>
      <c r="I255" s="10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x14ac:dyDescent="0.2">
      <c r="A256" s="10">
        <v>21320</v>
      </c>
      <c r="B256" s="11">
        <v>42672</v>
      </c>
      <c r="C256" s="12">
        <v>12.99</v>
      </c>
      <c r="D256" s="12">
        <v>0.99</v>
      </c>
      <c r="E256" s="15" t="s">
        <v>11</v>
      </c>
      <c r="F256" s="206"/>
      <c r="G256" s="206"/>
      <c r="H256" s="10"/>
      <c r="I256" s="10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x14ac:dyDescent="0.2">
      <c r="A257" s="10">
        <v>21321</v>
      </c>
      <c r="B257" s="11">
        <v>42672</v>
      </c>
      <c r="C257" s="12">
        <v>40.489999999999995</v>
      </c>
      <c r="D257" s="12">
        <v>3.09</v>
      </c>
      <c r="E257" s="13"/>
      <c r="F257" s="20"/>
      <c r="G257" s="20"/>
      <c r="H257" s="12"/>
      <c r="I257" s="10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x14ac:dyDescent="0.2">
      <c r="A258" s="10">
        <v>21322</v>
      </c>
      <c r="B258" s="11">
        <v>42672</v>
      </c>
      <c r="C258" s="12">
        <v>42.870000000000005</v>
      </c>
      <c r="D258" s="12">
        <v>3.27</v>
      </c>
      <c r="E258" s="15" t="s">
        <v>11</v>
      </c>
      <c r="F258" s="206"/>
      <c r="G258" s="206"/>
      <c r="H258" s="10"/>
      <c r="I258" s="10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x14ac:dyDescent="0.2">
      <c r="A259" s="10">
        <v>21323</v>
      </c>
      <c r="B259" s="11">
        <v>42672</v>
      </c>
      <c r="C259" s="12">
        <v>6</v>
      </c>
      <c r="D259" s="12">
        <v>0.46</v>
      </c>
      <c r="E259" s="13"/>
      <c r="F259" s="20"/>
      <c r="G259" s="20"/>
      <c r="H259" s="12"/>
      <c r="I259" s="10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x14ac:dyDescent="0.2">
      <c r="A260" s="10">
        <v>21324</v>
      </c>
      <c r="B260" s="11">
        <v>42672</v>
      </c>
      <c r="C260" s="12">
        <v>243.56</v>
      </c>
      <c r="D260" s="12">
        <v>18.559999999999999</v>
      </c>
      <c r="E260" s="15" t="s">
        <v>21</v>
      </c>
      <c r="F260" s="206"/>
      <c r="G260" s="206"/>
      <c r="H260" s="10"/>
      <c r="I260" s="10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x14ac:dyDescent="0.2">
      <c r="A261" s="10">
        <v>21325</v>
      </c>
      <c r="B261" s="11">
        <v>42672</v>
      </c>
      <c r="C261" s="12">
        <v>23.709999999999997</v>
      </c>
      <c r="D261" s="12">
        <v>1.81</v>
      </c>
      <c r="E261" s="15" t="s">
        <v>7</v>
      </c>
      <c r="F261" s="206"/>
      <c r="G261" s="206"/>
      <c r="H261" s="12"/>
      <c r="I261" s="10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x14ac:dyDescent="0.2">
      <c r="A262" s="10">
        <v>21326</v>
      </c>
      <c r="B262" s="11">
        <v>42672</v>
      </c>
      <c r="C262" s="12">
        <v>2</v>
      </c>
      <c r="D262" s="12">
        <v>0.15</v>
      </c>
      <c r="E262" s="13"/>
      <c r="F262" s="20"/>
      <c r="G262" s="20"/>
      <c r="H262" s="12"/>
      <c r="I262" s="10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x14ac:dyDescent="0.2">
      <c r="A263" s="10">
        <v>21327</v>
      </c>
      <c r="B263" s="11">
        <v>42672</v>
      </c>
      <c r="C263" s="12">
        <v>26.95</v>
      </c>
      <c r="D263" s="12">
        <v>2.0499999999999998</v>
      </c>
      <c r="E263" s="13"/>
      <c r="F263" s="20">
        <f>+C253+C256+C258+C261</f>
        <v>236.53000000000003</v>
      </c>
      <c r="G263" s="20">
        <f>505.53-271.8</f>
        <v>233.72999999999996</v>
      </c>
      <c r="H263" s="12"/>
      <c r="I263" s="10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x14ac:dyDescent="0.2">
      <c r="A264" s="10">
        <v>21328</v>
      </c>
      <c r="B264" s="11">
        <v>42674</v>
      </c>
      <c r="C264" s="12">
        <v>90</v>
      </c>
      <c r="D264" s="12">
        <v>5.33</v>
      </c>
      <c r="E264" s="15" t="s">
        <v>533</v>
      </c>
      <c r="F264" s="21"/>
      <c r="G264" s="22"/>
      <c r="H264" s="10"/>
      <c r="I264" s="10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x14ac:dyDescent="0.2">
      <c r="A265" s="10">
        <v>21329</v>
      </c>
      <c r="B265" s="11">
        <v>42674</v>
      </c>
      <c r="C265" s="12">
        <v>9</v>
      </c>
      <c r="D265" s="12"/>
      <c r="E265" s="13"/>
      <c r="F265" s="18"/>
      <c r="G265" s="19"/>
      <c r="H265" s="12"/>
      <c r="I265" s="10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x14ac:dyDescent="0.2">
      <c r="A266" s="10">
        <v>21330</v>
      </c>
      <c r="B266" s="11">
        <v>42674</v>
      </c>
      <c r="C266" s="12">
        <v>44</v>
      </c>
      <c r="D266" s="12">
        <v>3.35</v>
      </c>
      <c r="E266" s="15" t="s">
        <v>7</v>
      </c>
      <c r="H266" s="10"/>
      <c r="I266" s="10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1:23" x14ac:dyDescent="0.2">
      <c r="A267" s="10">
        <v>21331</v>
      </c>
      <c r="B267" s="11">
        <v>42674</v>
      </c>
      <c r="C267" s="12">
        <v>209</v>
      </c>
      <c r="D267" s="12">
        <v>15.93</v>
      </c>
      <c r="E267" s="15" t="s">
        <v>7</v>
      </c>
      <c r="F267" s="21"/>
      <c r="G267" s="22"/>
      <c r="H267" s="10"/>
      <c r="I267" s="10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1:23" x14ac:dyDescent="0.2">
      <c r="A268" s="10">
        <v>21332</v>
      </c>
      <c r="B268" s="11">
        <v>42674</v>
      </c>
      <c r="C268" s="12">
        <v>43.52</v>
      </c>
      <c r="D268" s="12">
        <v>3.32</v>
      </c>
      <c r="E268" s="15" t="s">
        <v>533</v>
      </c>
      <c r="F268" s="21"/>
      <c r="G268" s="22"/>
      <c r="H268" s="10"/>
      <c r="I268" s="10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1:23" x14ac:dyDescent="0.2">
      <c r="A269" s="10">
        <v>21333</v>
      </c>
      <c r="B269" s="11">
        <v>42674</v>
      </c>
      <c r="C269" s="12">
        <v>27</v>
      </c>
      <c r="D269" s="12">
        <v>2.06</v>
      </c>
      <c r="E269" s="15" t="s">
        <v>533</v>
      </c>
      <c r="F269" s="134">
        <f>+C266+C267</f>
        <v>253</v>
      </c>
      <c r="G269" s="123">
        <f>+F269*0.97831</f>
        <v>247.51242999999999</v>
      </c>
      <c r="H269" s="161" t="s">
        <v>811</v>
      </c>
      <c r="I269" s="10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1:23" x14ac:dyDescent="0.2">
      <c r="E270" s="26"/>
      <c r="H270" s="229"/>
      <c r="I270" s="229"/>
      <c r="J270" s="211"/>
      <c r="K270" s="211"/>
      <c r="L270" s="8"/>
    </row>
    <row r="271" spans="1:23" x14ac:dyDescent="0.2">
      <c r="E271" s="26"/>
      <c r="H271" s="188"/>
      <c r="I271" s="197"/>
      <c r="J271" s="198"/>
      <c r="K271" s="198"/>
    </row>
    <row r="272" spans="1:23" x14ac:dyDescent="0.2">
      <c r="E272" s="26"/>
      <c r="H272" s="191"/>
      <c r="I272" s="197"/>
      <c r="J272" s="198"/>
      <c r="K272" s="198"/>
    </row>
    <row r="273" spans="5:11" x14ac:dyDescent="0.2">
      <c r="E273" s="26"/>
      <c r="H273" s="191"/>
      <c r="I273" s="197"/>
      <c r="J273" s="198"/>
      <c r="K273" s="198"/>
    </row>
    <row r="274" spans="5:11" x14ac:dyDescent="0.2">
      <c r="E274" s="26"/>
      <c r="H274" s="188"/>
      <c r="I274" s="197"/>
      <c r="J274" s="198"/>
      <c r="K274" s="198"/>
    </row>
    <row r="275" spans="5:11" x14ac:dyDescent="0.2">
      <c r="E275" s="26"/>
      <c r="H275" s="188"/>
      <c r="I275" s="197"/>
      <c r="J275" s="198"/>
      <c r="K275" s="198"/>
    </row>
    <row r="276" spans="5:11" x14ac:dyDescent="0.2">
      <c r="E276" s="26"/>
      <c r="H276" s="191"/>
      <c r="I276" s="197"/>
      <c r="J276" s="198"/>
      <c r="K276" s="198"/>
    </row>
    <row r="277" spans="5:11" x14ac:dyDescent="0.2">
      <c r="E277" s="26"/>
      <c r="H277" s="191"/>
      <c r="I277" s="197"/>
      <c r="J277" s="198"/>
      <c r="K277" s="198"/>
    </row>
    <row r="278" spans="5:11" x14ac:dyDescent="0.2">
      <c r="E278" s="26"/>
      <c r="H278" s="188"/>
      <c r="I278" s="197"/>
      <c r="J278" s="198"/>
      <c r="K278" s="198"/>
    </row>
    <row r="279" spans="5:11" x14ac:dyDescent="0.2">
      <c r="E279" s="26"/>
      <c r="H279" s="191"/>
      <c r="I279" s="197"/>
      <c r="J279" s="198"/>
      <c r="K279" s="198"/>
    </row>
    <row r="280" spans="5:11" x14ac:dyDescent="0.2">
      <c r="E280" s="26"/>
      <c r="H280" s="191"/>
      <c r="I280" s="197"/>
      <c r="J280" s="198"/>
      <c r="K280" s="198"/>
    </row>
    <row r="281" spans="5:11" x14ac:dyDescent="0.2">
      <c r="E281" s="26"/>
      <c r="H281" s="191"/>
      <c r="I281" s="197"/>
      <c r="J281" s="198"/>
      <c r="K281" s="198"/>
    </row>
    <row r="282" spans="5:11" x14ac:dyDescent="0.2">
      <c r="E282" s="26"/>
      <c r="H282" s="191"/>
      <c r="I282" s="197"/>
      <c r="J282" s="198"/>
      <c r="K282" s="198"/>
    </row>
    <row r="283" spans="5:11" x14ac:dyDescent="0.2">
      <c r="E283" s="26"/>
      <c r="H283" s="191"/>
      <c r="I283" s="197"/>
      <c r="J283" s="198"/>
      <c r="K283" s="198"/>
    </row>
    <row r="284" spans="5:11" x14ac:dyDescent="0.2">
      <c r="E284" s="26"/>
      <c r="H284" s="191"/>
      <c r="I284" s="197"/>
      <c r="J284" s="198"/>
      <c r="K284" s="198"/>
    </row>
    <row r="285" spans="5:11" x14ac:dyDescent="0.2">
      <c r="E285" s="26"/>
      <c r="H285" s="199"/>
      <c r="I285" s="184"/>
      <c r="J285" s="184"/>
      <c r="K285" s="184"/>
    </row>
    <row r="286" spans="5:11" x14ac:dyDescent="0.2">
      <c r="E286" s="26"/>
      <c r="H286" s="199"/>
      <c r="I286" s="184"/>
      <c r="J286" s="184"/>
      <c r="K286" s="184"/>
    </row>
    <row r="287" spans="5:11" x14ac:dyDescent="0.2">
      <c r="E287" s="26"/>
      <c r="H287" s="199"/>
      <c r="I287" s="184"/>
      <c r="J287" s="184"/>
      <c r="K287" s="184"/>
    </row>
    <row r="288" spans="5:11" x14ac:dyDescent="0.2">
      <c r="E288" s="26"/>
      <c r="H288" s="85"/>
      <c r="I288" s="77"/>
      <c r="J288" s="77"/>
      <c r="K288" s="77"/>
    </row>
    <row r="289" spans="5:11" x14ac:dyDescent="0.2">
      <c r="E289" s="26"/>
      <c r="H289" s="199"/>
      <c r="I289" s="184"/>
      <c r="J289" s="184"/>
      <c r="K289" s="184"/>
    </row>
    <row r="290" spans="5:11" x14ac:dyDescent="0.2">
      <c r="E290" s="26"/>
      <c r="H290" s="199"/>
      <c r="I290" s="184"/>
      <c r="J290" s="184"/>
      <c r="K290" s="184"/>
    </row>
    <row r="291" spans="5:11" x14ac:dyDescent="0.2">
      <c r="E291" s="26"/>
    </row>
    <row r="292" spans="5:11" x14ac:dyDescent="0.2">
      <c r="E292" s="26"/>
    </row>
    <row r="293" spans="5:11" x14ac:dyDescent="0.2">
      <c r="E293" s="26"/>
    </row>
    <row r="294" spans="5:11" x14ac:dyDescent="0.2">
      <c r="E294" s="26"/>
    </row>
    <row r="295" spans="5:11" x14ac:dyDescent="0.2">
      <c r="E295" s="26"/>
    </row>
    <row r="296" spans="5:11" x14ac:dyDescent="0.2">
      <c r="E296" s="26"/>
    </row>
    <row r="297" spans="5:11" x14ac:dyDescent="0.2">
      <c r="E297" s="26"/>
    </row>
    <row r="298" spans="5:11" x14ac:dyDescent="0.2">
      <c r="E298" s="26"/>
    </row>
    <row r="299" spans="5:11" x14ac:dyDescent="0.2">
      <c r="E299" s="26"/>
    </row>
    <row r="300" spans="5:11" x14ac:dyDescent="0.2">
      <c r="E300" s="26"/>
    </row>
    <row r="301" spans="5:11" x14ac:dyDescent="0.2">
      <c r="E301" s="26"/>
    </row>
    <row r="302" spans="5:11" x14ac:dyDescent="0.2">
      <c r="E302" s="26"/>
    </row>
    <row r="303" spans="5:11" x14ac:dyDescent="0.2">
      <c r="E303" s="26"/>
    </row>
    <row r="304" spans="5:11" x14ac:dyDescent="0.2">
      <c r="E304" s="26"/>
    </row>
    <row r="305" spans="1:23" x14ac:dyDescent="0.2">
      <c r="E305" s="26"/>
    </row>
    <row r="306" spans="1:23" x14ac:dyDescent="0.2">
      <c r="E306" s="26"/>
    </row>
    <row r="307" spans="1:23" x14ac:dyDescent="0.2">
      <c r="E307" s="26"/>
    </row>
    <row r="308" spans="1:23" s="29" customFormat="1" x14ac:dyDescent="0.2">
      <c r="A308" s="4"/>
      <c r="B308" s="11"/>
      <c r="C308" s="25"/>
      <c r="D308" s="4"/>
      <c r="E308" s="26"/>
      <c r="F308" s="4"/>
      <c r="G308" s="4"/>
      <c r="H308" s="25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s="29" customFormat="1" x14ac:dyDescent="0.2">
      <c r="B309" s="30"/>
      <c r="C309" s="31"/>
      <c r="E309" s="32"/>
      <c r="H309" s="31"/>
    </row>
    <row r="310" spans="1:23" x14ac:dyDescent="0.2">
      <c r="A310" s="29"/>
      <c r="B310" s="30"/>
      <c r="C310" s="31"/>
      <c r="D310" s="29"/>
      <c r="E310" s="32"/>
      <c r="F310" s="29"/>
      <c r="G310" s="29"/>
      <c r="H310" s="31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</row>
    <row r="311" spans="1:23" x14ac:dyDescent="0.2">
      <c r="E311" s="26"/>
    </row>
    <row r="312" spans="1:23" x14ac:dyDescent="0.2">
      <c r="E312" s="26"/>
    </row>
    <row r="313" spans="1:23" x14ac:dyDescent="0.2">
      <c r="E313" s="26"/>
    </row>
    <row r="314" spans="1:23" x14ac:dyDescent="0.2">
      <c r="E314" s="26"/>
    </row>
    <row r="315" spans="1:23" x14ac:dyDescent="0.2">
      <c r="E315" s="26"/>
    </row>
    <row r="316" spans="1:23" x14ac:dyDescent="0.2">
      <c r="E316" s="26"/>
    </row>
    <row r="317" spans="1:23" x14ac:dyDescent="0.2">
      <c r="E317" s="26"/>
    </row>
    <row r="318" spans="1:23" x14ac:dyDescent="0.2">
      <c r="E318" s="26"/>
    </row>
    <row r="319" spans="1:23" x14ac:dyDescent="0.2">
      <c r="E319" s="26"/>
    </row>
    <row r="320" spans="1:23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3251"/>
  <sheetViews>
    <sheetView topLeftCell="A191" workbookViewId="0">
      <selection activeCell="A239" sqref="A239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SUM(C3:C433)</f>
        <v>24287.617500000008</v>
      </c>
      <c r="D1" s="3">
        <f>SUM(D3:D433)</f>
        <v>1460.9975000000006</v>
      </c>
      <c r="F1" s="166">
        <f>SUM(F3:F3835)</f>
        <v>7806.7</v>
      </c>
      <c r="G1" s="166">
        <f>SUM(G3:G3835)</f>
        <v>7425.3417598000005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21334</v>
      </c>
      <c r="B3" s="11">
        <v>42675</v>
      </c>
      <c r="C3" s="12">
        <v>14.07</v>
      </c>
      <c r="D3" s="12">
        <v>1.07</v>
      </c>
      <c r="E3" s="15" t="s">
        <v>7</v>
      </c>
      <c r="F3" s="10"/>
      <c r="G3" s="10"/>
      <c r="H3" s="10"/>
      <c r="I3" s="10"/>
    </row>
    <row r="4" spans="1:10" x14ac:dyDescent="0.2">
      <c r="A4" s="10">
        <v>21335</v>
      </c>
      <c r="B4" s="11">
        <v>42675</v>
      </c>
      <c r="C4" s="12">
        <v>610</v>
      </c>
      <c r="D4" s="12">
        <v>46.49</v>
      </c>
      <c r="E4" s="15" t="s">
        <v>11</v>
      </c>
      <c r="F4" s="10"/>
      <c r="G4" s="10"/>
      <c r="H4" s="10"/>
      <c r="I4" s="10"/>
    </row>
    <row r="5" spans="1:10" x14ac:dyDescent="0.2">
      <c r="A5" s="10">
        <v>21336</v>
      </c>
      <c r="B5" s="11">
        <v>42675</v>
      </c>
      <c r="C5" s="12">
        <v>5.68</v>
      </c>
      <c r="D5" s="12">
        <v>0.43</v>
      </c>
      <c r="E5" s="13"/>
      <c r="F5" s="12"/>
      <c r="G5" s="12"/>
      <c r="H5" s="12"/>
      <c r="I5" s="10"/>
    </row>
    <row r="6" spans="1:10" x14ac:dyDescent="0.2">
      <c r="A6" s="10">
        <v>21337</v>
      </c>
      <c r="B6" s="11">
        <v>42675</v>
      </c>
      <c r="C6" s="12">
        <v>10.77</v>
      </c>
      <c r="D6" s="12">
        <v>0.82</v>
      </c>
      <c r="E6" s="13"/>
      <c r="F6" s="12"/>
      <c r="G6" s="12"/>
      <c r="H6" s="12"/>
      <c r="I6" s="10"/>
    </row>
    <row r="7" spans="1:10" x14ac:dyDescent="0.2">
      <c r="A7" s="10">
        <v>21338</v>
      </c>
      <c r="B7" s="11">
        <v>42675</v>
      </c>
      <c r="C7" s="12">
        <v>-7.0900000000000007</v>
      </c>
      <c r="D7" s="12">
        <v>-0.54</v>
      </c>
      <c r="E7" s="13"/>
      <c r="F7" s="12"/>
      <c r="G7" s="12"/>
      <c r="H7" s="12"/>
      <c r="I7" s="10"/>
    </row>
    <row r="8" spans="1:10" x14ac:dyDescent="0.2">
      <c r="A8" s="10">
        <v>21339</v>
      </c>
      <c r="B8" s="11">
        <v>42675</v>
      </c>
      <c r="C8" s="12">
        <v>687</v>
      </c>
      <c r="D8" s="12"/>
      <c r="E8" s="15" t="s">
        <v>25</v>
      </c>
      <c r="F8" s="10"/>
      <c r="G8" s="10"/>
      <c r="H8" s="10"/>
      <c r="I8" s="10"/>
    </row>
    <row r="9" spans="1:10" x14ac:dyDescent="0.2">
      <c r="A9" s="10">
        <v>21340</v>
      </c>
      <c r="B9" s="11">
        <v>42675</v>
      </c>
      <c r="C9" s="12">
        <v>35.29</v>
      </c>
      <c r="D9" s="12">
        <v>2.69</v>
      </c>
      <c r="E9" s="15" t="s">
        <v>533</v>
      </c>
      <c r="I9" s="10"/>
    </row>
    <row r="10" spans="1:10" x14ac:dyDescent="0.2">
      <c r="A10" s="10">
        <v>21341</v>
      </c>
      <c r="B10" s="11">
        <v>42675</v>
      </c>
      <c r="C10" s="12">
        <v>5.41</v>
      </c>
      <c r="D10" s="12">
        <v>0.41</v>
      </c>
      <c r="E10" s="17"/>
      <c r="I10" s="10"/>
    </row>
    <row r="11" spans="1:10" x14ac:dyDescent="0.2">
      <c r="A11" s="10">
        <v>21342</v>
      </c>
      <c r="B11" s="11">
        <v>42675</v>
      </c>
      <c r="C11" s="12">
        <v>19</v>
      </c>
      <c r="D11" s="12">
        <v>1.45</v>
      </c>
      <c r="E11" s="17"/>
      <c r="F11" s="134">
        <f>+C3+C4</f>
        <v>624.07000000000005</v>
      </c>
      <c r="G11" s="123">
        <f>+F11*0.97831</f>
        <v>610.53392170000006</v>
      </c>
      <c r="H11" s="114" t="s">
        <v>812</v>
      </c>
      <c r="I11" s="10"/>
    </row>
    <row r="12" spans="1:10" x14ac:dyDescent="0.2">
      <c r="A12" s="10">
        <v>21343</v>
      </c>
      <c r="B12" s="11">
        <v>42676</v>
      </c>
      <c r="C12" s="12">
        <v>34</v>
      </c>
      <c r="D12" s="12">
        <v>2.59</v>
      </c>
      <c r="E12" s="17"/>
      <c r="F12" s="18"/>
      <c r="G12" s="19"/>
      <c r="H12" s="12"/>
      <c r="I12" s="10"/>
    </row>
    <row r="13" spans="1:10" x14ac:dyDescent="0.2">
      <c r="A13" s="10">
        <v>21344</v>
      </c>
      <c r="B13" s="11">
        <v>42676</v>
      </c>
      <c r="C13" s="12">
        <v>42</v>
      </c>
      <c r="D13" s="12"/>
      <c r="E13" s="13" t="s">
        <v>813</v>
      </c>
      <c r="F13" s="18"/>
      <c r="G13" s="19"/>
      <c r="H13" s="12"/>
      <c r="I13" s="10"/>
    </row>
    <row r="14" spans="1:10" x14ac:dyDescent="0.2">
      <c r="A14" s="10">
        <v>21345</v>
      </c>
      <c r="B14" s="11">
        <v>42676</v>
      </c>
      <c r="C14" s="12">
        <v>58.46</v>
      </c>
      <c r="D14" s="12">
        <v>4.46</v>
      </c>
      <c r="E14" s="15" t="s">
        <v>533</v>
      </c>
      <c r="F14" s="21"/>
      <c r="G14" s="22"/>
      <c r="H14" s="10"/>
      <c r="I14" s="10"/>
    </row>
    <row r="15" spans="1:10" x14ac:dyDescent="0.2">
      <c r="A15" s="10">
        <v>21346</v>
      </c>
      <c r="B15" s="11">
        <v>42676</v>
      </c>
      <c r="C15" s="12">
        <v>49.8</v>
      </c>
      <c r="D15" s="12">
        <v>3.8</v>
      </c>
      <c r="E15" s="17"/>
      <c r="F15" s="18"/>
      <c r="G15" s="19"/>
      <c r="H15" s="12"/>
      <c r="I15" s="10"/>
    </row>
    <row r="16" spans="1:10" x14ac:dyDescent="0.2">
      <c r="A16" s="10">
        <v>21347</v>
      </c>
      <c r="B16" s="11">
        <v>42676</v>
      </c>
      <c r="C16" s="12">
        <v>8</v>
      </c>
      <c r="D16" s="12"/>
      <c r="E16" s="13" t="s">
        <v>814</v>
      </c>
      <c r="I16" s="10"/>
    </row>
    <row r="17" spans="1:9" x14ac:dyDescent="0.2">
      <c r="A17" s="10">
        <v>21348</v>
      </c>
      <c r="B17" s="11">
        <v>42676</v>
      </c>
      <c r="C17" s="12">
        <v>888.08</v>
      </c>
      <c r="D17" s="12"/>
      <c r="E17" s="15" t="s">
        <v>82</v>
      </c>
      <c r="I17" s="10"/>
    </row>
    <row r="18" spans="1:9" x14ac:dyDescent="0.2">
      <c r="A18" s="10">
        <v>21349</v>
      </c>
      <c r="B18" s="11">
        <v>42676</v>
      </c>
      <c r="C18" s="12">
        <v>78</v>
      </c>
      <c r="D18" s="12"/>
      <c r="E18" s="15" t="s">
        <v>82</v>
      </c>
      <c r="I18" s="10"/>
    </row>
    <row r="19" spans="1:9" x14ac:dyDescent="0.2">
      <c r="A19" s="10">
        <v>21350</v>
      </c>
      <c r="B19" s="11">
        <v>42676</v>
      </c>
      <c r="C19" s="12">
        <v>197.02</v>
      </c>
      <c r="D19" s="12">
        <v>15.02</v>
      </c>
      <c r="E19" s="15" t="s">
        <v>26</v>
      </c>
      <c r="F19" s="21"/>
      <c r="G19" s="22"/>
      <c r="H19" s="10"/>
      <c r="I19" s="10"/>
    </row>
    <row r="20" spans="1:9" x14ac:dyDescent="0.2">
      <c r="A20" s="10">
        <v>21351</v>
      </c>
      <c r="B20" s="11">
        <v>42676</v>
      </c>
      <c r="C20" s="12">
        <v>29.5</v>
      </c>
      <c r="D20" s="12"/>
      <c r="E20" s="15" t="s">
        <v>16</v>
      </c>
      <c r="F20" s="134">
        <v>100</v>
      </c>
      <c r="G20" s="123">
        <f>+F20*0.97831</f>
        <v>97.831000000000003</v>
      </c>
      <c r="H20" s="114" t="s">
        <v>768</v>
      </c>
      <c r="I20" s="10"/>
    </row>
    <row r="21" spans="1:9" x14ac:dyDescent="0.2">
      <c r="A21" s="10">
        <v>21352</v>
      </c>
      <c r="B21" s="11">
        <v>42677</v>
      </c>
      <c r="C21" s="12">
        <v>34.5</v>
      </c>
      <c r="D21" s="12"/>
      <c r="E21" s="13" t="s">
        <v>815</v>
      </c>
      <c r="F21" s="18"/>
      <c r="G21" s="19"/>
      <c r="H21" s="12"/>
      <c r="I21" s="10"/>
    </row>
    <row r="22" spans="1:9" x14ac:dyDescent="0.2">
      <c r="A22" s="10">
        <v>21353</v>
      </c>
      <c r="B22" s="11">
        <v>42677</v>
      </c>
      <c r="C22" s="12">
        <v>270.35000000000002</v>
      </c>
      <c r="D22" s="12">
        <v>20.6</v>
      </c>
      <c r="E22" s="15" t="s">
        <v>7</v>
      </c>
      <c r="F22" s="21"/>
      <c r="G22" s="22"/>
      <c r="H22" s="10"/>
      <c r="I22" s="10"/>
    </row>
    <row r="23" spans="1:9" x14ac:dyDescent="0.2">
      <c r="A23" s="10">
        <v>21354</v>
      </c>
      <c r="B23" s="11">
        <v>42677</v>
      </c>
      <c r="C23" s="12">
        <v>4</v>
      </c>
      <c r="D23" s="12"/>
      <c r="E23" s="13" t="s">
        <v>815</v>
      </c>
      <c r="F23" s="18"/>
      <c r="G23" s="19"/>
      <c r="H23" s="12"/>
      <c r="I23" s="10"/>
    </row>
    <row r="24" spans="1:9" x14ac:dyDescent="0.2">
      <c r="A24" s="10">
        <v>21355</v>
      </c>
      <c r="B24" s="11">
        <v>42677</v>
      </c>
      <c r="C24" s="12">
        <v>41.14</v>
      </c>
      <c r="D24" s="12">
        <v>3.14</v>
      </c>
      <c r="E24" s="17"/>
      <c r="F24" s="18"/>
      <c r="G24" s="19"/>
      <c r="H24" s="12"/>
      <c r="I24" s="10"/>
    </row>
    <row r="25" spans="1:9" x14ac:dyDescent="0.2">
      <c r="A25" s="10">
        <v>21356</v>
      </c>
      <c r="B25" s="11">
        <v>42677</v>
      </c>
      <c r="C25" s="12">
        <v>58.400000000000006</v>
      </c>
      <c r="D25" s="12">
        <v>4.45</v>
      </c>
      <c r="E25" s="17"/>
      <c r="H25" s="114"/>
      <c r="I25" s="10"/>
    </row>
    <row r="26" spans="1:9" x14ac:dyDescent="0.2">
      <c r="A26" s="10">
        <v>21357</v>
      </c>
      <c r="B26" s="11">
        <v>42677</v>
      </c>
      <c r="C26" s="12">
        <v>49.129999999999995</v>
      </c>
      <c r="D26" s="12"/>
      <c r="E26" s="13" t="s">
        <v>8</v>
      </c>
      <c r="H26" s="12"/>
      <c r="I26" s="10"/>
    </row>
    <row r="27" spans="1:9" x14ac:dyDescent="0.2">
      <c r="A27" s="10">
        <v>21358</v>
      </c>
      <c r="B27" s="11">
        <v>42677</v>
      </c>
      <c r="C27" s="12">
        <v>536.91999999999996</v>
      </c>
      <c r="D27" s="12">
        <v>40.92</v>
      </c>
      <c r="E27" s="15" t="s">
        <v>816</v>
      </c>
      <c r="F27" s="21"/>
      <c r="G27" s="22"/>
      <c r="H27" s="10"/>
      <c r="I27" s="10"/>
    </row>
    <row r="28" spans="1:9" x14ac:dyDescent="0.2">
      <c r="A28" s="10">
        <v>21359</v>
      </c>
      <c r="B28" s="11">
        <v>42677</v>
      </c>
      <c r="C28" s="12">
        <v>-8</v>
      </c>
      <c r="D28" s="12"/>
      <c r="E28" s="13" t="s">
        <v>817</v>
      </c>
      <c r="F28" s="18"/>
      <c r="G28" s="19"/>
      <c r="H28" s="12"/>
      <c r="I28" s="10"/>
    </row>
    <row r="29" spans="1:9" x14ac:dyDescent="0.2">
      <c r="A29" s="10">
        <v>21360</v>
      </c>
      <c r="B29" s="11">
        <v>42677</v>
      </c>
      <c r="C29" s="12">
        <v>44.38</v>
      </c>
      <c r="D29" s="12">
        <v>3.38</v>
      </c>
      <c r="E29" s="15" t="s">
        <v>533</v>
      </c>
      <c r="H29" s="10"/>
      <c r="I29" s="10"/>
    </row>
    <row r="30" spans="1:9" x14ac:dyDescent="0.2">
      <c r="A30" s="10">
        <v>21361</v>
      </c>
      <c r="B30" s="11">
        <v>42677</v>
      </c>
      <c r="C30" s="12">
        <v>230.26</v>
      </c>
      <c r="D30" s="12"/>
      <c r="E30" s="15" t="s">
        <v>82</v>
      </c>
      <c r="H30" s="10"/>
      <c r="I30" s="10"/>
    </row>
    <row r="31" spans="1:9" x14ac:dyDescent="0.2">
      <c r="A31" s="10">
        <v>21362</v>
      </c>
      <c r="B31" s="11">
        <v>42677</v>
      </c>
      <c r="C31" s="12">
        <v>236.8</v>
      </c>
      <c r="D31" s="12">
        <v>18.05</v>
      </c>
      <c r="E31" s="15" t="s">
        <v>818</v>
      </c>
      <c r="I31" s="10"/>
    </row>
    <row r="32" spans="1:9" x14ac:dyDescent="0.2">
      <c r="A32" s="10">
        <v>21363</v>
      </c>
      <c r="B32" s="11">
        <v>42677</v>
      </c>
      <c r="C32" s="12">
        <v>33.989999999999995</v>
      </c>
      <c r="D32" s="12">
        <v>2.59</v>
      </c>
      <c r="E32" s="15" t="s">
        <v>533</v>
      </c>
      <c r="I32" s="10"/>
    </row>
    <row r="33" spans="1:12" x14ac:dyDescent="0.2">
      <c r="A33" s="10">
        <v>21364</v>
      </c>
      <c r="B33" s="11">
        <v>42677</v>
      </c>
      <c r="C33" s="12">
        <v>79.83</v>
      </c>
      <c r="D33" s="12">
        <v>6.08</v>
      </c>
      <c r="E33" s="15" t="s">
        <v>819</v>
      </c>
      <c r="F33" s="134">
        <f>+C22</f>
        <v>270.35000000000002</v>
      </c>
      <c r="G33" s="123">
        <f>+F33*0.97831</f>
        <v>264.4861085</v>
      </c>
      <c r="H33" s="114" t="s">
        <v>820</v>
      </c>
      <c r="I33" s="10"/>
    </row>
    <row r="34" spans="1:12" x14ac:dyDescent="0.2">
      <c r="A34" s="10">
        <v>21365</v>
      </c>
      <c r="B34" s="11">
        <v>42678</v>
      </c>
      <c r="C34" s="12">
        <v>46.49</v>
      </c>
      <c r="D34" s="12">
        <v>3.54</v>
      </c>
      <c r="E34" s="15" t="s">
        <v>533</v>
      </c>
      <c r="H34" s="10"/>
      <c r="I34" s="10"/>
    </row>
    <row r="35" spans="1:12" x14ac:dyDescent="0.2">
      <c r="A35" s="10">
        <v>21366</v>
      </c>
      <c r="B35" s="11">
        <v>42678</v>
      </c>
      <c r="C35" s="185">
        <v>29.4</v>
      </c>
      <c r="D35" s="12"/>
      <c r="E35" s="15" t="s">
        <v>17</v>
      </c>
      <c r="I35" s="10"/>
    </row>
    <row r="36" spans="1:12" x14ac:dyDescent="0.2">
      <c r="A36" s="10">
        <v>21367</v>
      </c>
      <c r="B36" s="11">
        <v>42678</v>
      </c>
      <c r="C36" s="185">
        <v>26.2</v>
      </c>
      <c r="D36" s="12">
        <v>2</v>
      </c>
      <c r="E36" s="15" t="s">
        <v>11</v>
      </c>
      <c r="H36" s="10"/>
      <c r="I36" s="10"/>
    </row>
    <row r="37" spans="1:12" x14ac:dyDescent="0.2">
      <c r="A37" s="10">
        <v>21368</v>
      </c>
      <c r="B37" s="11">
        <v>42678</v>
      </c>
      <c r="C37" s="185">
        <v>12.99</v>
      </c>
      <c r="D37" s="12">
        <v>0.99</v>
      </c>
      <c r="E37" s="15" t="s">
        <v>11</v>
      </c>
      <c r="H37" s="10"/>
      <c r="I37" s="10"/>
    </row>
    <row r="38" spans="1:12" x14ac:dyDescent="0.2">
      <c r="A38" s="10">
        <v>21369</v>
      </c>
      <c r="B38" s="11">
        <v>42678</v>
      </c>
      <c r="C38" s="185">
        <v>606.09</v>
      </c>
      <c r="D38" s="12"/>
      <c r="E38" s="15" t="s">
        <v>752</v>
      </c>
      <c r="H38" s="10"/>
      <c r="I38" s="10"/>
    </row>
    <row r="39" spans="1:12" x14ac:dyDescent="0.2">
      <c r="A39" s="10">
        <v>21370</v>
      </c>
      <c r="B39" s="11">
        <v>42678</v>
      </c>
      <c r="C39" s="185">
        <v>371.3</v>
      </c>
      <c r="D39" s="12">
        <v>28.3</v>
      </c>
      <c r="E39" s="15" t="s">
        <v>7</v>
      </c>
      <c r="F39" s="21"/>
      <c r="G39" s="22"/>
      <c r="H39" s="10"/>
      <c r="I39" s="10"/>
    </row>
    <row r="40" spans="1:12" x14ac:dyDescent="0.2">
      <c r="A40" s="10">
        <v>21371</v>
      </c>
      <c r="B40" s="11">
        <v>42678</v>
      </c>
      <c r="C40" s="185">
        <v>12.99</v>
      </c>
      <c r="D40" s="12">
        <v>0.99</v>
      </c>
      <c r="E40" s="13"/>
      <c r="F40" s="18"/>
      <c r="G40" s="19"/>
      <c r="H40" s="12"/>
      <c r="I40" s="10"/>
    </row>
    <row r="41" spans="1:12" x14ac:dyDescent="0.2">
      <c r="A41" s="10">
        <v>21372</v>
      </c>
      <c r="B41" s="11">
        <v>42678</v>
      </c>
      <c r="C41" s="185">
        <v>8.66</v>
      </c>
      <c r="D41" s="12">
        <v>0.66</v>
      </c>
      <c r="E41" s="15" t="s">
        <v>11</v>
      </c>
      <c r="H41" s="10"/>
      <c r="I41" s="10"/>
    </row>
    <row r="42" spans="1:12" x14ac:dyDescent="0.2">
      <c r="A42" s="10">
        <v>21373</v>
      </c>
      <c r="B42" s="11">
        <v>42678</v>
      </c>
      <c r="C42" s="12">
        <v>70.36</v>
      </c>
      <c r="D42" s="12">
        <v>5.36</v>
      </c>
      <c r="E42" s="12"/>
      <c r="F42" s="21"/>
      <c r="G42" s="233"/>
      <c r="H42" s="234"/>
      <c r="I42" s="211"/>
      <c r="J42" s="211"/>
      <c r="K42" s="198"/>
      <c r="L42" s="184"/>
    </row>
    <row r="43" spans="1:12" x14ac:dyDescent="0.2">
      <c r="A43" s="10">
        <v>21374</v>
      </c>
      <c r="B43" s="11">
        <v>42678</v>
      </c>
      <c r="C43" s="12">
        <v>190</v>
      </c>
      <c r="D43" s="12"/>
      <c r="E43" s="13" t="s">
        <v>821</v>
      </c>
      <c r="H43" s="234"/>
      <c r="I43" s="211"/>
      <c r="J43" s="211"/>
      <c r="K43" s="198"/>
      <c r="L43" s="184"/>
    </row>
    <row r="44" spans="1:12" x14ac:dyDescent="0.2">
      <c r="A44" s="10">
        <v>21375</v>
      </c>
      <c r="B44" s="11">
        <v>42678</v>
      </c>
      <c r="C44" s="12">
        <v>65.5</v>
      </c>
      <c r="D44" s="12"/>
      <c r="E44" s="15" t="s">
        <v>21</v>
      </c>
      <c r="F44" s="134">
        <f>+C36+C37+C35+C38+C39+C41+45.47</f>
        <v>1100.1100000000001</v>
      </c>
      <c r="G44" s="123">
        <f>+F44*0.97831</f>
        <v>1076.2486141000002</v>
      </c>
      <c r="H44" s="229"/>
      <c r="I44" s="229"/>
      <c r="J44" s="211"/>
      <c r="K44" s="198"/>
      <c r="L44" s="184"/>
    </row>
    <row r="45" spans="1:12" x14ac:dyDescent="0.2">
      <c r="A45" s="10">
        <v>21376</v>
      </c>
      <c r="B45" s="11">
        <v>42679</v>
      </c>
      <c r="C45" s="12">
        <v>209.99999999999997</v>
      </c>
      <c r="D45" s="12">
        <v>16</v>
      </c>
      <c r="E45" s="13"/>
      <c r="F45" s="18"/>
      <c r="G45" s="19"/>
      <c r="H45" s="234"/>
      <c r="I45" s="229"/>
      <c r="J45" s="211"/>
      <c r="K45" s="198"/>
      <c r="L45" s="184"/>
    </row>
    <row r="46" spans="1:12" x14ac:dyDescent="0.2">
      <c r="A46" s="10">
        <v>21377</v>
      </c>
      <c r="B46" s="11">
        <v>42679</v>
      </c>
      <c r="C46" s="12">
        <v>10.83</v>
      </c>
      <c r="D46" s="12">
        <v>0.83</v>
      </c>
      <c r="E46" s="13"/>
      <c r="F46" s="18"/>
      <c r="G46" s="19"/>
      <c r="H46" s="234"/>
      <c r="I46" s="229"/>
      <c r="J46" s="211"/>
      <c r="K46" s="198"/>
      <c r="L46" s="184"/>
    </row>
    <row r="47" spans="1:12" x14ac:dyDescent="0.2">
      <c r="A47" s="10">
        <v>21378</v>
      </c>
      <c r="B47" s="11">
        <v>42679</v>
      </c>
      <c r="C47" s="12">
        <v>15.97</v>
      </c>
      <c r="D47" s="12"/>
      <c r="E47" s="15" t="s">
        <v>11</v>
      </c>
      <c r="F47" s="21"/>
      <c r="G47" s="22"/>
      <c r="H47" s="229"/>
      <c r="I47" s="229"/>
      <c r="J47" s="211"/>
      <c r="K47" s="198"/>
      <c r="L47" s="184"/>
    </row>
    <row r="48" spans="1:12" x14ac:dyDescent="0.2">
      <c r="A48" s="10">
        <v>21379</v>
      </c>
      <c r="B48" s="11">
        <v>42679</v>
      </c>
      <c r="C48" s="12">
        <v>236</v>
      </c>
      <c r="D48" s="12">
        <v>17.989999999999998</v>
      </c>
      <c r="E48" s="15" t="s">
        <v>21</v>
      </c>
      <c r="F48" s="21"/>
      <c r="G48" s="22"/>
      <c r="H48" s="229"/>
      <c r="I48" s="229"/>
      <c r="J48" s="211"/>
      <c r="K48" s="198"/>
      <c r="L48" s="184"/>
    </row>
    <row r="49" spans="1:12" x14ac:dyDescent="0.2">
      <c r="A49" s="10">
        <v>21380</v>
      </c>
      <c r="B49" s="11">
        <v>42679</v>
      </c>
      <c r="C49" s="12">
        <v>165</v>
      </c>
      <c r="D49" s="12">
        <v>12.57</v>
      </c>
      <c r="E49" s="13"/>
      <c r="F49" s="18"/>
      <c r="G49" s="19"/>
      <c r="H49" s="234"/>
      <c r="I49" s="229"/>
      <c r="J49" s="211"/>
      <c r="K49" s="198"/>
      <c r="L49" s="184"/>
    </row>
    <row r="50" spans="1:12" x14ac:dyDescent="0.2">
      <c r="A50" s="10">
        <v>21381</v>
      </c>
      <c r="B50" s="11">
        <v>42679</v>
      </c>
      <c r="C50" s="12">
        <v>107.17</v>
      </c>
      <c r="D50" s="12">
        <v>8.17</v>
      </c>
      <c r="E50" s="15" t="s">
        <v>533</v>
      </c>
      <c r="F50" s="21"/>
      <c r="G50" s="22"/>
      <c r="H50" s="229"/>
      <c r="I50" s="229"/>
      <c r="J50" s="211"/>
      <c r="K50" s="198"/>
      <c r="L50" s="184"/>
    </row>
    <row r="51" spans="1:12" x14ac:dyDescent="0.2">
      <c r="A51" s="10">
        <v>21382</v>
      </c>
      <c r="B51" s="11">
        <v>42679</v>
      </c>
      <c r="C51" s="12">
        <v>25.98</v>
      </c>
      <c r="D51" s="12">
        <v>1.98</v>
      </c>
      <c r="E51" s="13"/>
      <c r="F51" s="18"/>
      <c r="G51" s="19"/>
      <c r="H51" s="234"/>
      <c r="I51" s="229"/>
      <c r="J51" s="211"/>
      <c r="K51" s="198"/>
      <c r="L51" s="184"/>
    </row>
    <row r="52" spans="1:12" x14ac:dyDescent="0.2">
      <c r="A52" s="10">
        <v>21383</v>
      </c>
      <c r="B52" s="11">
        <v>42679</v>
      </c>
      <c r="C52" s="12">
        <v>21.65</v>
      </c>
      <c r="D52" s="12">
        <v>1.65</v>
      </c>
      <c r="E52" s="15" t="s">
        <v>533</v>
      </c>
      <c r="F52" s="21"/>
      <c r="G52" s="22"/>
      <c r="H52" s="229"/>
      <c r="I52" s="229"/>
      <c r="J52" s="211"/>
      <c r="K52" s="198"/>
      <c r="L52" s="184"/>
    </row>
    <row r="53" spans="1:12" x14ac:dyDescent="0.2">
      <c r="A53" s="10">
        <v>21384</v>
      </c>
      <c r="B53" s="11">
        <v>42679</v>
      </c>
      <c r="C53" s="12">
        <v>20.57</v>
      </c>
      <c r="D53" s="12">
        <v>1.57</v>
      </c>
      <c r="E53" s="15" t="s">
        <v>11</v>
      </c>
      <c r="F53" s="21"/>
      <c r="G53" s="22"/>
      <c r="H53" s="225"/>
      <c r="I53" s="229"/>
      <c r="J53" s="211"/>
      <c r="K53" s="198"/>
      <c r="L53" s="184"/>
    </row>
    <row r="54" spans="1:12" x14ac:dyDescent="0.2">
      <c r="A54" s="10">
        <v>21385</v>
      </c>
      <c r="B54" s="11">
        <v>42679</v>
      </c>
      <c r="C54" s="12">
        <v>14.559999999999999</v>
      </c>
      <c r="D54" s="12">
        <v>1.1100000000000001</v>
      </c>
      <c r="E54" s="13"/>
      <c r="F54" s="18"/>
      <c r="G54" s="19"/>
      <c r="H54" s="234"/>
      <c r="I54" s="229"/>
      <c r="J54" s="211"/>
      <c r="K54" s="198"/>
      <c r="L54" s="184"/>
    </row>
    <row r="55" spans="1:12" x14ac:dyDescent="0.2">
      <c r="A55" s="10">
        <v>21386</v>
      </c>
      <c r="B55" s="11">
        <v>42679</v>
      </c>
      <c r="C55" s="12">
        <v>346.4</v>
      </c>
      <c r="D55" s="12">
        <v>26.4</v>
      </c>
      <c r="E55" s="15" t="s">
        <v>822</v>
      </c>
      <c r="F55" s="21"/>
      <c r="G55" s="22"/>
      <c r="H55" s="229"/>
      <c r="I55" s="229"/>
      <c r="J55" s="211"/>
      <c r="K55" s="198"/>
      <c r="L55" s="184"/>
    </row>
    <row r="56" spans="1:12" x14ac:dyDescent="0.2">
      <c r="A56" s="10">
        <v>21387</v>
      </c>
      <c r="B56" s="11">
        <v>42679</v>
      </c>
      <c r="C56" s="12">
        <v>100</v>
      </c>
      <c r="D56" s="12"/>
      <c r="E56" s="17"/>
      <c r="F56" s="18"/>
      <c r="G56" s="19"/>
      <c r="H56" s="234"/>
      <c r="I56" s="229"/>
      <c r="J56" s="211"/>
      <c r="K56" s="198"/>
      <c r="L56" s="184"/>
    </row>
    <row r="57" spans="1:12" x14ac:dyDescent="0.2">
      <c r="A57" s="10">
        <v>21388</v>
      </c>
      <c r="B57" s="11">
        <v>42679</v>
      </c>
      <c r="C57" s="185">
        <v>11.91</v>
      </c>
      <c r="D57" s="12">
        <v>0.91</v>
      </c>
      <c r="E57" s="15" t="s">
        <v>11</v>
      </c>
      <c r="F57" s="134">
        <f>+C47+C53+110+C57</f>
        <v>158.44999999999999</v>
      </c>
      <c r="G57" s="123">
        <f>+F57*0.97831</f>
        <v>155.01321949999999</v>
      </c>
      <c r="H57" s="114" t="s">
        <v>823</v>
      </c>
      <c r="I57" s="229"/>
      <c r="J57" s="211"/>
      <c r="K57" s="198"/>
      <c r="L57" s="184"/>
    </row>
    <row r="58" spans="1:12" x14ac:dyDescent="0.2">
      <c r="A58" s="10">
        <v>21389</v>
      </c>
      <c r="B58" s="11">
        <v>42681</v>
      </c>
      <c r="C58" s="185">
        <v>14</v>
      </c>
      <c r="D58" s="12">
        <v>1.07</v>
      </c>
      <c r="E58" s="17"/>
      <c r="F58" s="18"/>
      <c r="G58" s="19"/>
      <c r="H58" s="12"/>
      <c r="I58" s="229"/>
      <c r="J58" s="211"/>
      <c r="K58" s="198"/>
      <c r="L58" s="184"/>
    </row>
    <row r="59" spans="1:12" x14ac:dyDescent="0.2">
      <c r="A59" s="10">
        <v>21390</v>
      </c>
      <c r="B59" s="11">
        <v>42681</v>
      </c>
      <c r="C59" s="185">
        <v>27</v>
      </c>
      <c r="D59" s="12">
        <v>2.06</v>
      </c>
      <c r="E59" s="17"/>
      <c r="F59" s="18"/>
      <c r="G59" s="19"/>
      <c r="H59" s="12"/>
      <c r="I59" s="229"/>
      <c r="J59" s="211"/>
      <c r="K59" s="198"/>
      <c r="L59" s="184"/>
    </row>
    <row r="60" spans="1:12" x14ac:dyDescent="0.2">
      <c r="A60" s="10">
        <v>21391</v>
      </c>
      <c r="B60" s="11">
        <v>42681</v>
      </c>
      <c r="C60" s="185">
        <v>37.5</v>
      </c>
      <c r="D60" s="12"/>
      <c r="E60" s="15" t="s">
        <v>755</v>
      </c>
      <c r="H60" s="10"/>
      <c r="I60" s="229"/>
      <c r="J60" s="211"/>
      <c r="K60" s="198"/>
      <c r="L60" s="184"/>
    </row>
    <row r="61" spans="1:12" x14ac:dyDescent="0.2">
      <c r="A61" s="10">
        <v>21392</v>
      </c>
      <c r="B61" s="11">
        <v>42681</v>
      </c>
      <c r="C61" s="185">
        <v>335.65</v>
      </c>
      <c r="D61" s="12"/>
      <c r="E61" s="15" t="s">
        <v>82</v>
      </c>
      <c r="F61" s="21"/>
      <c r="G61" s="22"/>
      <c r="H61" s="10"/>
      <c r="I61" s="229"/>
      <c r="J61" s="211"/>
      <c r="K61" s="198"/>
      <c r="L61" s="184"/>
    </row>
    <row r="62" spans="1:12" x14ac:dyDescent="0.2">
      <c r="A62" s="10">
        <v>21393</v>
      </c>
      <c r="B62" s="11">
        <v>42681</v>
      </c>
      <c r="C62" s="185">
        <v>113.99</v>
      </c>
      <c r="D62" s="12">
        <v>8.69</v>
      </c>
      <c r="E62" s="15" t="s">
        <v>824</v>
      </c>
      <c r="F62" s="21"/>
      <c r="G62" s="22"/>
      <c r="H62" s="10"/>
      <c r="I62" s="229"/>
      <c r="J62" s="211"/>
      <c r="K62" s="198"/>
      <c r="L62" s="184"/>
    </row>
    <row r="63" spans="1:12" x14ac:dyDescent="0.2">
      <c r="A63" s="10">
        <v>21394</v>
      </c>
      <c r="B63" s="11">
        <v>42681</v>
      </c>
      <c r="C63" s="185">
        <v>20.57</v>
      </c>
      <c r="D63" s="12">
        <v>1.57</v>
      </c>
      <c r="E63" s="17"/>
      <c r="F63" s="18"/>
      <c r="G63" s="19"/>
      <c r="H63" s="12"/>
      <c r="I63" s="229"/>
      <c r="J63" s="211"/>
      <c r="K63" s="198"/>
      <c r="L63" s="184"/>
    </row>
    <row r="64" spans="1:12" x14ac:dyDescent="0.2">
      <c r="A64" s="10">
        <v>21395</v>
      </c>
      <c r="B64" s="11">
        <v>42681</v>
      </c>
      <c r="C64" s="185">
        <v>391.87</v>
      </c>
      <c r="D64" s="12">
        <v>29.87</v>
      </c>
      <c r="E64" s="15" t="s">
        <v>533</v>
      </c>
      <c r="H64" s="10"/>
      <c r="I64" s="229"/>
      <c r="J64" s="211"/>
      <c r="K64" s="198"/>
      <c r="L64" s="184"/>
    </row>
    <row r="65" spans="1:12" x14ac:dyDescent="0.2">
      <c r="A65" s="10">
        <v>21396</v>
      </c>
      <c r="B65" s="11">
        <v>42681</v>
      </c>
      <c r="C65" s="185">
        <v>81.73</v>
      </c>
      <c r="D65" s="12">
        <v>6.23</v>
      </c>
      <c r="E65" s="15" t="s">
        <v>825</v>
      </c>
      <c r="F65" s="21"/>
      <c r="G65" s="22"/>
      <c r="H65" s="10"/>
      <c r="I65" s="229"/>
      <c r="J65" s="211"/>
      <c r="K65" s="198"/>
      <c r="L65" s="184"/>
    </row>
    <row r="66" spans="1:12" x14ac:dyDescent="0.2">
      <c r="A66" s="10">
        <v>21397</v>
      </c>
      <c r="B66" s="11">
        <v>42681</v>
      </c>
      <c r="C66" s="185">
        <v>92.01</v>
      </c>
      <c r="D66" s="12">
        <v>7.01</v>
      </c>
      <c r="E66" s="17"/>
      <c r="F66" s="134">
        <f>+C60</f>
        <v>37.5</v>
      </c>
      <c r="G66" s="123">
        <f>+F66*0.97831</f>
        <v>36.686624999999999</v>
      </c>
      <c r="H66" s="12"/>
      <c r="I66" s="229"/>
      <c r="J66" s="211"/>
      <c r="K66" s="198"/>
      <c r="L66" s="184"/>
    </row>
    <row r="67" spans="1:12" x14ac:dyDescent="0.2">
      <c r="A67" s="10">
        <v>21398</v>
      </c>
      <c r="B67" s="11">
        <v>42682</v>
      </c>
      <c r="C67" s="185">
        <v>163</v>
      </c>
      <c r="D67" s="12"/>
      <c r="E67" s="15" t="s">
        <v>25</v>
      </c>
      <c r="F67" s="21"/>
      <c r="G67" s="22"/>
      <c r="H67" s="10"/>
      <c r="I67" s="229"/>
      <c r="J67" s="211"/>
      <c r="K67" s="198"/>
      <c r="L67" s="184"/>
    </row>
    <row r="68" spans="1:12" x14ac:dyDescent="0.2">
      <c r="A68" s="10">
        <v>21399</v>
      </c>
      <c r="B68" s="11">
        <v>42682</v>
      </c>
      <c r="C68" s="185">
        <v>27.99</v>
      </c>
      <c r="D68" s="12"/>
      <c r="E68" s="15" t="s">
        <v>97</v>
      </c>
      <c r="H68" s="10"/>
      <c r="I68" s="229"/>
      <c r="J68" s="211"/>
      <c r="K68" s="198"/>
      <c r="L68" s="184"/>
    </row>
    <row r="69" spans="1:12" x14ac:dyDescent="0.2">
      <c r="A69" s="10">
        <v>21400</v>
      </c>
      <c r="B69" s="11">
        <v>42682</v>
      </c>
      <c r="C69" s="185">
        <v>9.69</v>
      </c>
      <c r="D69" s="12">
        <v>0.74</v>
      </c>
      <c r="E69" s="17"/>
      <c r="H69" s="12"/>
      <c r="I69" s="229"/>
      <c r="J69" s="211"/>
      <c r="K69" s="198"/>
      <c r="L69" s="184"/>
    </row>
    <row r="70" spans="1:12" x14ac:dyDescent="0.2">
      <c r="A70" s="10">
        <v>21401</v>
      </c>
      <c r="B70" s="11">
        <v>42682</v>
      </c>
      <c r="C70" s="185">
        <v>18</v>
      </c>
      <c r="D70" s="12"/>
      <c r="E70" s="13" t="s">
        <v>19</v>
      </c>
      <c r="H70" s="12"/>
      <c r="I70" s="229"/>
      <c r="J70" s="211"/>
      <c r="K70" s="198"/>
      <c r="L70" s="184"/>
    </row>
    <row r="71" spans="1:12" x14ac:dyDescent="0.2">
      <c r="A71" s="10">
        <v>21402</v>
      </c>
      <c r="B71" s="11">
        <v>42682</v>
      </c>
      <c r="C71" s="185">
        <v>170</v>
      </c>
      <c r="D71" s="12"/>
      <c r="E71" s="13" t="s">
        <v>826</v>
      </c>
      <c r="H71" s="12"/>
      <c r="I71" s="229"/>
      <c r="J71" s="211"/>
      <c r="K71" s="198"/>
      <c r="L71" s="184"/>
    </row>
    <row r="72" spans="1:12" x14ac:dyDescent="0.2">
      <c r="A72" s="10">
        <v>21403</v>
      </c>
      <c r="B72" s="11">
        <v>42682</v>
      </c>
      <c r="C72" s="185">
        <v>200</v>
      </c>
      <c r="D72" s="12">
        <v>15.24</v>
      </c>
      <c r="E72" s="17"/>
      <c r="F72" s="18"/>
      <c r="G72" s="19"/>
      <c r="H72" s="12"/>
      <c r="I72" s="229"/>
      <c r="J72" s="211"/>
      <c r="K72" s="198"/>
      <c r="L72" s="184"/>
    </row>
    <row r="73" spans="1:12" x14ac:dyDescent="0.2">
      <c r="A73" s="10">
        <v>21404</v>
      </c>
      <c r="B73" s="11">
        <v>42682</v>
      </c>
      <c r="C73" s="185">
        <v>115</v>
      </c>
      <c r="D73" s="12">
        <v>8.76</v>
      </c>
      <c r="E73" s="15" t="s">
        <v>827</v>
      </c>
      <c r="F73" s="21"/>
      <c r="G73" s="22"/>
      <c r="H73" s="10"/>
      <c r="I73" s="229"/>
      <c r="J73" s="211"/>
      <c r="K73" s="198"/>
      <c r="L73" s="184"/>
    </row>
    <row r="74" spans="1:12" x14ac:dyDescent="0.2">
      <c r="A74" s="10">
        <v>21405</v>
      </c>
      <c r="B74" s="11">
        <v>42682</v>
      </c>
      <c r="C74" s="185">
        <v>13</v>
      </c>
      <c r="D74" s="12">
        <v>0.99</v>
      </c>
      <c r="E74" s="17"/>
      <c r="H74" s="12"/>
      <c r="I74" s="229"/>
      <c r="J74" s="211"/>
      <c r="K74" s="198"/>
      <c r="L74" s="184"/>
    </row>
    <row r="75" spans="1:12" x14ac:dyDescent="0.2">
      <c r="A75" s="10">
        <v>21406</v>
      </c>
      <c r="B75" s="11">
        <v>42682</v>
      </c>
      <c r="C75" s="185">
        <v>11.2</v>
      </c>
      <c r="D75" s="12"/>
      <c r="E75" s="15" t="s">
        <v>16</v>
      </c>
      <c r="H75" s="10"/>
      <c r="I75" s="229"/>
      <c r="J75" s="211"/>
      <c r="K75" s="198"/>
      <c r="L75" s="184"/>
    </row>
    <row r="76" spans="1:12" x14ac:dyDescent="0.2">
      <c r="A76" s="10">
        <v>21407</v>
      </c>
      <c r="B76" s="11">
        <v>42682</v>
      </c>
      <c r="C76" s="185">
        <v>254.40999999999997</v>
      </c>
      <c r="D76" s="12">
        <v>27.01</v>
      </c>
      <c r="E76" s="15" t="s">
        <v>533</v>
      </c>
      <c r="F76" s="134">
        <f>+C62</f>
        <v>113.99</v>
      </c>
      <c r="G76" s="123">
        <f>+F76*0.97831</f>
        <v>111.5175569</v>
      </c>
      <c r="H76" s="114" t="s">
        <v>828</v>
      </c>
      <c r="I76" s="229"/>
      <c r="J76" s="211"/>
      <c r="K76" s="198"/>
      <c r="L76" s="184"/>
    </row>
    <row r="77" spans="1:12" x14ac:dyDescent="0.2">
      <c r="A77" s="10">
        <v>21408</v>
      </c>
      <c r="B77" s="11">
        <v>42683</v>
      </c>
      <c r="C77" s="185">
        <v>42.22</v>
      </c>
      <c r="D77" s="12">
        <v>3.22</v>
      </c>
      <c r="E77" s="15" t="s">
        <v>11</v>
      </c>
      <c r="F77" s="21"/>
      <c r="G77" s="22"/>
      <c r="H77" s="10"/>
      <c r="I77" s="229"/>
      <c r="J77" s="211"/>
      <c r="K77" s="198"/>
      <c r="L77" s="184"/>
    </row>
    <row r="78" spans="1:12" x14ac:dyDescent="0.2">
      <c r="A78" s="10">
        <v>21409</v>
      </c>
      <c r="B78" s="11">
        <v>42683</v>
      </c>
      <c r="C78" s="185">
        <v>13</v>
      </c>
      <c r="D78" s="12"/>
      <c r="E78" s="13" t="s">
        <v>829</v>
      </c>
      <c r="F78" s="18"/>
      <c r="G78" s="19"/>
      <c r="H78" s="12"/>
      <c r="I78" s="229"/>
      <c r="J78" s="211"/>
      <c r="K78" s="198"/>
      <c r="L78" s="184"/>
    </row>
    <row r="79" spans="1:12" x14ac:dyDescent="0.2">
      <c r="A79" s="10">
        <v>21410</v>
      </c>
      <c r="B79" s="11">
        <v>42683</v>
      </c>
      <c r="C79" s="185">
        <v>273.87</v>
      </c>
      <c r="D79" s="12">
        <v>20.87</v>
      </c>
      <c r="E79" s="15" t="s">
        <v>11</v>
      </c>
      <c r="F79" s="21"/>
      <c r="G79" s="22"/>
      <c r="H79" s="10"/>
      <c r="I79" s="229"/>
      <c r="J79" s="211"/>
      <c r="K79" s="198"/>
      <c r="L79" s="184"/>
    </row>
    <row r="80" spans="1:12" x14ac:dyDescent="0.2">
      <c r="A80" s="10">
        <v>21411</v>
      </c>
      <c r="B80" s="11">
        <v>42683</v>
      </c>
      <c r="C80" s="185">
        <v>71.2</v>
      </c>
      <c r="D80" s="12"/>
      <c r="E80" s="15" t="s">
        <v>82</v>
      </c>
      <c r="H80" s="10"/>
      <c r="I80" s="229"/>
      <c r="J80" s="211"/>
      <c r="K80" s="198"/>
      <c r="L80" s="184"/>
    </row>
    <row r="81" spans="1:12" x14ac:dyDescent="0.2">
      <c r="A81" s="10">
        <v>21412</v>
      </c>
      <c r="B81" s="11">
        <v>42683</v>
      </c>
      <c r="C81" s="185">
        <v>149.93</v>
      </c>
      <c r="D81" s="12">
        <v>11.43</v>
      </c>
      <c r="E81" s="15" t="s">
        <v>7</v>
      </c>
      <c r="F81" s="21"/>
      <c r="G81" s="22"/>
      <c r="H81" s="10"/>
      <c r="I81" s="229"/>
      <c r="J81" s="211"/>
      <c r="K81" s="198"/>
      <c r="L81" s="184"/>
    </row>
    <row r="82" spans="1:12" x14ac:dyDescent="0.2">
      <c r="A82" s="10">
        <v>21413</v>
      </c>
      <c r="B82" s="11">
        <v>42683</v>
      </c>
      <c r="C82" s="185">
        <v>350</v>
      </c>
      <c r="D82" s="12">
        <v>26.67</v>
      </c>
      <c r="E82" s="15" t="s">
        <v>21</v>
      </c>
      <c r="F82" s="21"/>
      <c r="G82" s="22"/>
      <c r="H82" s="10"/>
      <c r="I82" s="229"/>
      <c r="J82" s="211"/>
      <c r="K82" s="198"/>
      <c r="L82" s="184"/>
    </row>
    <row r="83" spans="1:12" x14ac:dyDescent="0.2">
      <c r="A83" s="10">
        <v>21414</v>
      </c>
      <c r="B83" s="11">
        <v>42683</v>
      </c>
      <c r="C83" s="185">
        <v>87.66</v>
      </c>
      <c r="D83" s="12">
        <v>6.68</v>
      </c>
      <c r="E83" s="15" t="s">
        <v>11</v>
      </c>
      <c r="F83" s="134">
        <f>120+C77+C81+C83</f>
        <v>399.80999999999995</v>
      </c>
      <c r="G83" s="123">
        <f>+F83*0.97831</f>
        <v>391.13812109999998</v>
      </c>
      <c r="H83" s="10"/>
      <c r="I83" s="229"/>
      <c r="J83" s="211"/>
      <c r="K83" s="198"/>
      <c r="L83" s="184"/>
    </row>
    <row r="84" spans="1:12" x14ac:dyDescent="0.2">
      <c r="A84" s="10">
        <v>21415</v>
      </c>
      <c r="B84" s="11">
        <v>42684</v>
      </c>
      <c r="C84" s="185">
        <v>41</v>
      </c>
      <c r="D84" s="12">
        <v>3.12</v>
      </c>
      <c r="E84" s="17"/>
      <c r="F84" s="18"/>
      <c r="G84" s="19"/>
      <c r="H84" s="12"/>
      <c r="I84" s="229"/>
      <c r="J84" s="211"/>
      <c r="K84" s="198"/>
      <c r="L84" s="184"/>
    </row>
    <row r="85" spans="1:12" x14ac:dyDescent="0.2">
      <c r="A85" s="10">
        <v>21416</v>
      </c>
      <c r="B85" s="11">
        <v>42684</v>
      </c>
      <c r="C85" s="185">
        <v>32.479999999999997</v>
      </c>
      <c r="D85" s="12">
        <v>2.48</v>
      </c>
      <c r="E85" s="17"/>
      <c r="F85" s="20">
        <v>0</v>
      </c>
      <c r="G85" s="20">
        <f>+F85*0.97831</f>
        <v>0</v>
      </c>
      <c r="H85" s="114" t="s">
        <v>830</v>
      </c>
      <c r="I85" s="229"/>
      <c r="J85" s="211"/>
      <c r="K85" s="198"/>
      <c r="L85" s="184"/>
    </row>
    <row r="86" spans="1:12" x14ac:dyDescent="0.2">
      <c r="A86" s="10">
        <v>21417</v>
      </c>
      <c r="B86" s="11">
        <v>42685</v>
      </c>
      <c r="C86" s="185">
        <v>308.51</v>
      </c>
      <c r="D86" s="12">
        <v>23.51</v>
      </c>
      <c r="E86" s="15" t="s">
        <v>533</v>
      </c>
      <c r="F86" s="21"/>
      <c r="G86" s="22"/>
      <c r="H86" s="10"/>
      <c r="I86" s="229"/>
      <c r="J86" s="211"/>
      <c r="K86" s="198"/>
      <c r="L86" s="184"/>
    </row>
    <row r="87" spans="1:12" x14ac:dyDescent="0.2">
      <c r="A87" s="10">
        <v>21418</v>
      </c>
      <c r="B87" s="11">
        <v>42685</v>
      </c>
      <c r="C87" s="185">
        <v>42.22</v>
      </c>
      <c r="D87" s="12">
        <v>3.22</v>
      </c>
      <c r="E87" s="13"/>
      <c r="F87" s="18"/>
      <c r="G87" s="19"/>
      <c r="H87" s="12"/>
      <c r="I87" s="229"/>
      <c r="J87" s="211"/>
      <c r="K87" s="198"/>
      <c r="L87" s="184"/>
    </row>
    <row r="88" spans="1:12" x14ac:dyDescent="0.2">
      <c r="A88" s="10">
        <v>21419</v>
      </c>
      <c r="B88" s="11">
        <v>42685</v>
      </c>
      <c r="C88" s="185">
        <v>345.32</v>
      </c>
      <c r="D88" s="12">
        <v>26.32</v>
      </c>
      <c r="E88" s="13"/>
      <c r="F88" s="18"/>
      <c r="G88" s="19"/>
      <c r="H88" s="12"/>
      <c r="I88" s="229"/>
      <c r="J88" s="211"/>
      <c r="K88" s="198"/>
      <c r="L88" s="184"/>
    </row>
    <row r="89" spans="1:12" x14ac:dyDescent="0.2">
      <c r="A89" s="10">
        <v>21420</v>
      </c>
      <c r="B89" s="11">
        <v>42685</v>
      </c>
      <c r="C89" s="185">
        <v>85.517499999999998</v>
      </c>
      <c r="D89" s="12">
        <v>6.5175000000000001</v>
      </c>
      <c r="E89" s="13"/>
      <c r="F89" s="18"/>
      <c r="G89" s="19"/>
      <c r="H89" s="12"/>
      <c r="I89" s="229"/>
      <c r="J89" s="211"/>
      <c r="K89" s="198"/>
      <c r="L89" s="184"/>
    </row>
    <row r="90" spans="1:12" x14ac:dyDescent="0.2">
      <c r="A90" s="10">
        <v>21421</v>
      </c>
      <c r="B90" s="11">
        <v>42685</v>
      </c>
      <c r="C90" s="185">
        <v>34.1</v>
      </c>
      <c r="D90" s="12">
        <v>2.6</v>
      </c>
      <c r="E90" s="15" t="s">
        <v>7</v>
      </c>
      <c r="F90" s="21"/>
      <c r="G90" s="22"/>
      <c r="H90" s="10"/>
      <c r="I90" s="229"/>
      <c r="J90" s="211"/>
      <c r="K90" s="198"/>
      <c r="L90" s="184"/>
    </row>
    <row r="91" spans="1:12" x14ac:dyDescent="0.2">
      <c r="A91" s="10">
        <v>21422</v>
      </c>
      <c r="B91" s="11">
        <v>42685</v>
      </c>
      <c r="C91" s="185">
        <v>17</v>
      </c>
      <c r="D91" s="12">
        <v>1.3</v>
      </c>
      <c r="E91" s="17"/>
      <c r="I91" s="229"/>
      <c r="J91" s="211"/>
      <c r="K91" s="198"/>
      <c r="L91" s="184"/>
    </row>
    <row r="92" spans="1:12" x14ac:dyDescent="0.2">
      <c r="A92" s="10">
        <v>21423</v>
      </c>
      <c r="B92" s="11">
        <v>42685</v>
      </c>
      <c r="C92" s="185">
        <v>53.04</v>
      </c>
      <c r="D92" s="12">
        <v>4.04</v>
      </c>
      <c r="E92" s="15" t="s">
        <v>11</v>
      </c>
      <c r="I92" s="229"/>
      <c r="J92" s="211"/>
      <c r="K92" s="198"/>
      <c r="L92" s="184"/>
    </row>
    <row r="93" spans="1:12" x14ac:dyDescent="0.2">
      <c r="A93" s="10">
        <v>21424</v>
      </c>
      <c r="B93" s="11">
        <v>42685</v>
      </c>
      <c r="C93" s="185">
        <v>96.34</v>
      </c>
      <c r="D93" s="12">
        <v>7.34</v>
      </c>
      <c r="E93" s="17"/>
      <c r="F93" s="18"/>
      <c r="G93" s="19"/>
      <c r="H93" s="12"/>
      <c r="I93" s="229"/>
      <c r="J93" s="211"/>
      <c r="K93" s="198"/>
      <c r="L93" s="184"/>
    </row>
    <row r="94" spans="1:12" x14ac:dyDescent="0.2">
      <c r="A94" s="10">
        <v>21425</v>
      </c>
      <c r="B94" s="11">
        <v>42685</v>
      </c>
      <c r="C94" s="185">
        <v>46.55</v>
      </c>
      <c r="D94" s="12">
        <v>3.55</v>
      </c>
      <c r="E94" s="17"/>
      <c r="F94" s="18"/>
      <c r="G94" s="19"/>
      <c r="H94" s="12"/>
      <c r="I94" s="229"/>
      <c r="J94" s="211"/>
      <c r="K94" s="198"/>
      <c r="L94" s="184"/>
    </row>
    <row r="95" spans="1:12" x14ac:dyDescent="0.2">
      <c r="A95" s="10">
        <v>21426</v>
      </c>
      <c r="B95" s="11">
        <v>42685</v>
      </c>
      <c r="C95" s="185">
        <v>35.67</v>
      </c>
      <c r="D95" s="12">
        <v>2.72</v>
      </c>
      <c r="E95" s="15" t="s">
        <v>11</v>
      </c>
      <c r="F95" s="134">
        <f>+C90+C92+C95+177.02</f>
        <v>299.83000000000004</v>
      </c>
      <c r="G95" s="123">
        <f>+F95*0.97831</f>
        <v>293.32668730000006</v>
      </c>
      <c r="H95" s="114" t="s">
        <v>831</v>
      </c>
      <c r="I95" s="229"/>
      <c r="J95" s="211"/>
      <c r="K95" s="198"/>
      <c r="L95" s="184"/>
    </row>
    <row r="96" spans="1:12" x14ac:dyDescent="0.2">
      <c r="A96" s="10">
        <v>21427</v>
      </c>
      <c r="B96" s="11">
        <v>42686</v>
      </c>
      <c r="C96" s="12">
        <v>21</v>
      </c>
      <c r="D96" s="12">
        <v>1.6</v>
      </c>
      <c r="E96" s="12"/>
      <c r="F96" s="18"/>
      <c r="G96" s="19"/>
      <c r="H96" s="234"/>
      <c r="I96" s="211"/>
      <c r="J96" s="211"/>
      <c r="K96" s="198"/>
      <c r="L96" s="184"/>
    </row>
    <row r="97" spans="1:12" x14ac:dyDescent="0.2">
      <c r="A97" s="10">
        <v>21428</v>
      </c>
      <c r="B97" s="11">
        <v>42686</v>
      </c>
      <c r="C97" s="12">
        <v>37.830000000000005</v>
      </c>
      <c r="D97" s="12">
        <v>2.88</v>
      </c>
      <c r="E97" s="12"/>
      <c r="F97" s="18"/>
      <c r="G97" s="19"/>
      <c r="H97" s="234"/>
      <c r="I97" s="211"/>
      <c r="J97" s="211"/>
      <c r="K97" s="198"/>
      <c r="L97" s="184"/>
    </row>
    <row r="98" spans="1:12" x14ac:dyDescent="0.2">
      <c r="A98" s="10">
        <v>21429</v>
      </c>
      <c r="B98" s="11">
        <v>42686</v>
      </c>
      <c r="C98" s="12">
        <v>16.18</v>
      </c>
      <c r="D98" s="12">
        <v>1.23</v>
      </c>
      <c r="E98" s="12"/>
      <c r="F98" s="18"/>
      <c r="G98" s="19"/>
      <c r="H98" s="234"/>
      <c r="I98" s="211"/>
      <c r="J98" s="211"/>
      <c r="K98" s="198"/>
      <c r="L98" s="184"/>
    </row>
    <row r="99" spans="1:12" x14ac:dyDescent="0.2">
      <c r="A99" s="10">
        <v>21430</v>
      </c>
      <c r="B99" s="11">
        <v>42686</v>
      </c>
      <c r="C99" s="12">
        <v>44.92</v>
      </c>
      <c r="D99" s="12">
        <v>3.42</v>
      </c>
      <c r="E99" s="15" t="s">
        <v>11</v>
      </c>
      <c r="H99" s="229"/>
      <c r="I99" s="229"/>
      <c r="J99" s="211"/>
      <c r="K99" s="198"/>
      <c r="L99" s="184"/>
    </row>
    <row r="100" spans="1:12" x14ac:dyDescent="0.2">
      <c r="A100" s="10">
        <v>21431</v>
      </c>
      <c r="B100" s="11">
        <v>42686</v>
      </c>
      <c r="C100" s="12">
        <v>256.01</v>
      </c>
      <c r="D100" s="12">
        <v>19.510000000000002</v>
      </c>
      <c r="E100" s="15" t="s">
        <v>832</v>
      </c>
      <c r="H100" s="229"/>
      <c r="I100" s="229"/>
      <c r="J100" s="211"/>
      <c r="K100" s="198"/>
      <c r="L100" s="184"/>
    </row>
    <row r="101" spans="1:12" x14ac:dyDescent="0.2">
      <c r="A101" s="10">
        <v>21432</v>
      </c>
      <c r="B101" s="11">
        <v>42686</v>
      </c>
      <c r="C101" s="12">
        <v>8.66</v>
      </c>
      <c r="D101" s="12">
        <v>0.66</v>
      </c>
      <c r="E101" s="17"/>
      <c r="H101" s="234"/>
      <c r="I101" s="229"/>
      <c r="J101" s="211"/>
      <c r="K101" s="198"/>
      <c r="L101" s="184"/>
    </row>
    <row r="102" spans="1:12" x14ac:dyDescent="0.2">
      <c r="A102" s="10">
        <v>21433</v>
      </c>
      <c r="B102" s="11">
        <v>42686</v>
      </c>
      <c r="C102" s="12">
        <v>93.74</v>
      </c>
      <c r="D102" s="12">
        <v>7.14</v>
      </c>
      <c r="E102" s="15" t="s">
        <v>833</v>
      </c>
      <c r="H102" s="229"/>
      <c r="I102" s="229"/>
      <c r="J102" s="211"/>
      <c r="K102" s="198"/>
      <c r="L102" s="184"/>
    </row>
    <row r="103" spans="1:12" x14ac:dyDescent="0.2">
      <c r="A103" s="10">
        <v>21434</v>
      </c>
      <c r="B103" s="11">
        <v>42686</v>
      </c>
      <c r="C103" s="12">
        <v>36</v>
      </c>
      <c r="D103" s="12">
        <v>2.74</v>
      </c>
      <c r="E103" s="15" t="s">
        <v>11</v>
      </c>
      <c r="F103" s="21"/>
      <c r="G103" s="22"/>
      <c r="H103" s="229"/>
      <c r="I103" s="229"/>
      <c r="J103" s="211"/>
      <c r="K103" s="198"/>
      <c r="L103" s="184"/>
    </row>
    <row r="104" spans="1:12" x14ac:dyDescent="0.2">
      <c r="A104" s="10">
        <v>21435</v>
      </c>
      <c r="B104" s="11">
        <v>42686</v>
      </c>
      <c r="C104" s="12">
        <v>38.1</v>
      </c>
      <c r="D104" s="12">
        <v>2.9</v>
      </c>
      <c r="E104" s="17"/>
      <c r="F104" s="134">
        <f>+C99+125+C103</f>
        <v>205.92000000000002</v>
      </c>
      <c r="G104" s="123">
        <f>+F104*0.97831</f>
        <v>201.45359520000002</v>
      </c>
      <c r="H104" s="234"/>
      <c r="I104" s="229"/>
      <c r="J104" s="211"/>
      <c r="K104" s="198"/>
      <c r="L104" s="184"/>
    </row>
    <row r="105" spans="1:12" x14ac:dyDescent="0.2">
      <c r="A105" s="10">
        <v>21436</v>
      </c>
      <c r="B105" s="11">
        <v>42688</v>
      </c>
      <c r="C105" s="12">
        <v>20.57</v>
      </c>
      <c r="D105" s="12">
        <v>1.57</v>
      </c>
      <c r="E105" s="15" t="s">
        <v>11</v>
      </c>
      <c r="F105" s="21"/>
      <c r="G105" s="22"/>
      <c r="H105" s="229"/>
      <c r="I105" s="229"/>
      <c r="J105" s="211"/>
      <c r="K105" s="198"/>
      <c r="L105" s="184"/>
    </row>
    <row r="106" spans="1:12" x14ac:dyDescent="0.2">
      <c r="A106" s="10">
        <v>21437</v>
      </c>
      <c r="B106" s="11">
        <v>42688</v>
      </c>
      <c r="C106" s="12">
        <v>243.56</v>
      </c>
      <c r="D106" s="12">
        <v>18.559999999999999</v>
      </c>
      <c r="E106" s="15" t="s">
        <v>11</v>
      </c>
      <c r="I106" s="229"/>
      <c r="J106" s="211"/>
      <c r="K106" s="198"/>
      <c r="L106" s="184"/>
    </row>
    <row r="107" spans="1:12" x14ac:dyDescent="0.2">
      <c r="A107" s="10">
        <v>21438</v>
      </c>
      <c r="B107" s="11">
        <v>42688</v>
      </c>
      <c r="C107" s="12">
        <v>11</v>
      </c>
      <c r="D107" s="12">
        <v>0.84</v>
      </c>
      <c r="E107" s="17"/>
      <c r="I107" s="229"/>
      <c r="J107" s="211"/>
      <c r="K107" s="198"/>
      <c r="L107" s="184"/>
    </row>
    <row r="108" spans="1:12" x14ac:dyDescent="0.2">
      <c r="A108" s="10">
        <v>21439</v>
      </c>
      <c r="B108" s="11">
        <v>42688</v>
      </c>
      <c r="C108" s="12">
        <v>111</v>
      </c>
      <c r="D108" s="12"/>
      <c r="E108" s="15" t="s">
        <v>10</v>
      </c>
      <c r="F108" s="21"/>
      <c r="G108" s="22"/>
      <c r="H108" s="10"/>
      <c r="I108" s="229"/>
      <c r="J108" s="211"/>
      <c r="K108" s="198"/>
      <c r="L108" s="184"/>
    </row>
    <row r="109" spans="1:12" x14ac:dyDescent="0.2">
      <c r="A109" s="10">
        <v>21440</v>
      </c>
      <c r="B109" s="11">
        <v>42688</v>
      </c>
      <c r="C109" s="12">
        <v>75.5</v>
      </c>
      <c r="D109" s="12"/>
      <c r="E109" s="15" t="s">
        <v>82</v>
      </c>
      <c r="F109" s="134">
        <f>+C105+C106</f>
        <v>264.13</v>
      </c>
      <c r="G109" s="123">
        <f>+F109*0.97831</f>
        <v>258.40102029999997</v>
      </c>
      <c r="H109" s="114" t="s">
        <v>834</v>
      </c>
      <c r="I109" s="229"/>
      <c r="J109" s="211"/>
      <c r="K109" s="198"/>
      <c r="L109" s="184"/>
    </row>
    <row r="110" spans="1:12" x14ac:dyDescent="0.2">
      <c r="A110" s="10">
        <v>21441</v>
      </c>
      <c r="B110" s="11">
        <v>42689</v>
      </c>
      <c r="C110" s="12">
        <v>74.69</v>
      </c>
      <c r="D110" s="12">
        <v>5.69</v>
      </c>
      <c r="E110" s="15" t="s">
        <v>533</v>
      </c>
      <c r="F110" s="21"/>
      <c r="G110" s="22"/>
      <c r="H110" s="10"/>
      <c r="I110" s="229"/>
      <c r="J110" s="211"/>
      <c r="K110" s="198"/>
      <c r="L110" s="184"/>
    </row>
    <row r="111" spans="1:12" x14ac:dyDescent="0.2">
      <c r="A111" s="10">
        <v>21442</v>
      </c>
      <c r="B111" s="11">
        <v>42689</v>
      </c>
      <c r="C111" s="12">
        <v>6.5</v>
      </c>
      <c r="D111" s="12">
        <v>0.5</v>
      </c>
      <c r="E111" s="17"/>
      <c r="H111" s="12"/>
      <c r="I111" s="229"/>
      <c r="J111" s="211"/>
      <c r="K111" s="198"/>
      <c r="L111" s="184"/>
    </row>
    <row r="112" spans="1:12" x14ac:dyDescent="0.2">
      <c r="A112" s="10">
        <v>21443</v>
      </c>
      <c r="B112" s="11">
        <v>42689</v>
      </c>
      <c r="C112" s="12">
        <v>6.59</v>
      </c>
      <c r="D112" s="12"/>
      <c r="E112" s="15" t="s">
        <v>752</v>
      </c>
      <c r="H112" s="10"/>
      <c r="I112" s="229"/>
      <c r="J112" s="211"/>
      <c r="K112" s="198"/>
      <c r="L112" s="184"/>
    </row>
    <row r="113" spans="1:12" x14ac:dyDescent="0.2">
      <c r="A113" s="10">
        <v>21444</v>
      </c>
      <c r="B113" s="11">
        <v>42689</v>
      </c>
      <c r="C113" s="12">
        <v>41.14</v>
      </c>
      <c r="D113" s="12">
        <v>3.14</v>
      </c>
      <c r="E113" s="15" t="s">
        <v>11</v>
      </c>
      <c r="H113" s="10"/>
      <c r="I113" s="229"/>
      <c r="J113" s="211"/>
      <c r="K113" s="198"/>
      <c r="L113" s="184"/>
    </row>
    <row r="114" spans="1:12" x14ac:dyDescent="0.2">
      <c r="A114" s="10">
        <v>21445</v>
      </c>
      <c r="B114" s="11">
        <v>42689</v>
      </c>
      <c r="C114" s="12">
        <v>214.34</v>
      </c>
      <c r="D114" s="12">
        <v>16.34</v>
      </c>
      <c r="E114" s="15" t="s">
        <v>533</v>
      </c>
      <c r="F114" s="21"/>
      <c r="G114" s="22"/>
      <c r="H114" s="10"/>
      <c r="I114" s="229"/>
      <c r="J114" s="211"/>
      <c r="K114" s="198"/>
      <c r="L114" s="184"/>
    </row>
    <row r="115" spans="1:12" x14ac:dyDescent="0.2">
      <c r="A115" s="10">
        <v>21446</v>
      </c>
      <c r="B115" s="11">
        <v>42689</v>
      </c>
      <c r="C115" s="12">
        <v>36.81</v>
      </c>
      <c r="D115" s="12">
        <v>2.81</v>
      </c>
      <c r="E115" s="13"/>
      <c r="F115" s="18"/>
      <c r="G115" s="19"/>
      <c r="H115" s="12"/>
      <c r="I115" s="229"/>
      <c r="J115" s="211"/>
      <c r="K115" s="198"/>
      <c r="L115" s="184"/>
    </row>
    <row r="116" spans="1:12" x14ac:dyDescent="0.2">
      <c r="A116" s="10">
        <v>21447</v>
      </c>
      <c r="B116" s="11">
        <v>42689</v>
      </c>
      <c r="C116" s="12">
        <v>19.489999999999998</v>
      </c>
      <c r="D116" s="12">
        <v>1.49</v>
      </c>
      <c r="E116" s="15" t="s">
        <v>533</v>
      </c>
      <c r="F116" s="21"/>
      <c r="G116" s="22"/>
      <c r="H116" s="10"/>
      <c r="I116" s="229"/>
      <c r="J116" s="211"/>
      <c r="K116" s="198"/>
      <c r="L116" s="184"/>
    </row>
    <row r="117" spans="1:12" x14ac:dyDescent="0.2">
      <c r="A117" s="10">
        <v>21448</v>
      </c>
      <c r="B117" s="11">
        <v>42689</v>
      </c>
      <c r="C117" s="12">
        <v>105</v>
      </c>
      <c r="D117" s="12">
        <v>8</v>
      </c>
      <c r="E117" s="17"/>
      <c r="I117" s="229"/>
      <c r="J117" s="211"/>
      <c r="K117" s="198"/>
      <c r="L117" s="184"/>
    </row>
    <row r="118" spans="1:12" x14ac:dyDescent="0.2">
      <c r="A118" s="10">
        <v>21449</v>
      </c>
      <c r="B118" s="11">
        <v>42689</v>
      </c>
      <c r="C118" s="12">
        <v>32.479999999999997</v>
      </c>
      <c r="D118" s="12">
        <v>2.48</v>
      </c>
      <c r="E118" s="15" t="s">
        <v>835</v>
      </c>
      <c r="I118" s="229"/>
      <c r="J118" s="211"/>
      <c r="K118" s="198"/>
      <c r="L118" s="184"/>
    </row>
    <row r="119" spans="1:12" x14ac:dyDescent="0.2">
      <c r="A119" s="10">
        <v>21450</v>
      </c>
      <c r="B119" s="11">
        <v>42689</v>
      </c>
      <c r="C119" s="12">
        <v>128.82</v>
      </c>
      <c r="D119" s="12">
        <v>9.82</v>
      </c>
      <c r="E119" s="15" t="s">
        <v>7</v>
      </c>
      <c r="I119" s="229"/>
      <c r="J119" s="211"/>
      <c r="K119" s="198"/>
      <c r="L119" s="184"/>
    </row>
    <row r="120" spans="1:12" x14ac:dyDescent="0.2">
      <c r="A120" s="10">
        <v>21451</v>
      </c>
      <c r="B120" s="11">
        <v>42689</v>
      </c>
      <c r="C120" s="12">
        <v>20</v>
      </c>
      <c r="D120" s="12"/>
      <c r="E120" s="15" t="s">
        <v>25</v>
      </c>
      <c r="I120" s="229"/>
      <c r="J120" s="211"/>
      <c r="K120" s="198"/>
      <c r="L120" s="184"/>
    </row>
    <row r="121" spans="1:12" x14ac:dyDescent="0.2">
      <c r="A121" s="10">
        <v>21452</v>
      </c>
      <c r="B121" s="11">
        <v>42689</v>
      </c>
      <c r="C121" s="12">
        <v>98.51</v>
      </c>
      <c r="D121" s="12">
        <v>7.51</v>
      </c>
      <c r="E121" s="15" t="s">
        <v>836</v>
      </c>
      <c r="I121" s="229"/>
      <c r="J121" s="211"/>
      <c r="K121" s="198"/>
      <c r="L121" s="184"/>
    </row>
    <row r="122" spans="1:12" x14ac:dyDescent="0.2">
      <c r="A122" s="10">
        <v>21453</v>
      </c>
      <c r="B122" s="11">
        <v>42689</v>
      </c>
      <c r="C122" s="12">
        <v>14.52</v>
      </c>
      <c r="D122" s="12">
        <v>1.1100000000000001</v>
      </c>
      <c r="E122" s="13" t="s">
        <v>837</v>
      </c>
      <c r="F122" s="134">
        <f>+C112+C113+C119</f>
        <v>176.55</v>
      </c>
      <c r="G122" s="123">
        <f>+F122*0.97831</f>
        <v>172.72063050000003</v>
      </c>
      <c r="H122" s="114" t="s">
        <v>838</v>
      </c>
      <c r="I122" s="229"/>
      <c r="J122" s="211"/>
      <c r="K122" s="198"/>
      <c r="L122" s="184"/>
    </row>
    <row r="123" spans="1:12" x14ac:dyDescent="0.2">
      <c r="A123" s="10">
        <v>21454</v>
      </c>
      <c r="B123" s="11">
        <v>42690</v>
      </c>
      <c r="C123" s="12">
        <v>11.91</v>
      </c>
      <c r="D123" s="12">
        <v>0.91</v>
      </c>
      <c r="E123" s="17"/>
      <c r="F123" s="18"/>
      <c r="G123" s="19"/>
      <c r="H123" s="12"/>
      <c r="I123" s="229"/>
      <c r="J123" s="211"/>
      <c r="K123" s="198"/>
      <c r="L123" s="184"/>
    </row>
    <row r="124" spans="1:12" x14ac:dyDescent="0.2">
      <c r="A124" s="10">
        <v>21455</v>
      </c>
      <c r="B124" s="11">
        <v>42690</v>
      </c>
      <c r="C124" s="12">
        <v>142.25</v>
      </c>
      <c r="D124" s="12"/>
      <c r="E124" s="15" t="s">
        <v>82</v>
      </c>
      <c r="F124" s="21"/>
      <c r="G124" s="22"/>
      <c r="H124" s="10"/>
      <c r="I124" s="229"/>
      <c r="J124" s="211"/>
      <c r="K124" s="198"/>
      <c r="L124" s="184"/>
    </row>
    <row r="125" spans="1:12" x14ac:dyDescent="0.2">
      <c r="A125" s="10">
        <v>21456</v>
      </c>
      <c r="B125" s="11">
        <v>42690</v>
      </c>
      <c r="C125" s="12">
        <v>21.2</v>
      </c>
      <c r="D125" s="12"/>
      <c r="E125" s="15" t="s">
        <v>39</v>
      </c>
      <c r="F125" s="21"/>
      <c r="G125" s="22"/>
      <c r="H125" s="10"/>
      <c r="I125" s="229"/>
      <c r="J125" s="211"/>
      <c r="K125" s="198"/>
      <c r="L125" s="184"/>
    </row>
    <row r="126" spans="1:12" x14ac:dyDescent="0.2">
      <c r="A126" s="10">
        <v>21457</v>
      </c>
      <c r="B126" s="11">
        <v>42690</v>
      </c>
      <c r="C126" s="12">
        <v>63.87</v>
      </c>
      <c r="D126" s="12">
        <v>4.87</v>
      </c>
      <c r="E126" s="15" t="s">
        <v>7</v>
      </c>
      <c r="H126" s="10"/>
      <c r="I126" s="229"/>
      <c r="J126" s="211"/>
      <c r="K126" s="198"/>
      <c r="L126" s="184"/>
    </row>
    <row r="127" spans="1:12" x14ac:dyDescent="0.2">
      <c r="A127" s="10">
        <v>21458</v>
      </c>
      <c r="B127" s="11">
        <v>42690</v>
      </c>
      <c r="C127" s="12">
        <v>21.599999999999998</v>
      </c>
      <c r="D127" s="12">
        <v>1.65</v>
      </c>
      <c r="E127" s="17"/>
      <c r="F127" s="18"/>
      <c r="G127" s="19"/>
      <c r="H127" s="12"/>
      <c r="I127" s="229"/>
      <c r="J127" s="211"/>
      <c r="K127" s="198"/>
      <c r="L127" s="184"/>
    </row>
    <row r="128" spans="1:12" x14ac:dyDescent="0.2">
      <c r="A128" s="10">
        <v>21459</v>
      </c>
      <c r="B128" s="11">
        <v>42690</v>
      </c>
      <c r="C128" s="12">
        <v>14</v>
      </c>
      <c r="D128" s="12">
        <v>1.07</v>
      </c>
      <c r="E128" s="17"/>
      <c r="H128" s="12"/>
      <c r="I128" s="229"/>
      <c r="J128" s="211"/>
      <c r="K128" s="198"/>
      <c r="L128" s="184"/>
    </row>
    <row r="129" spans="1:12" x14ac:dyDescent="0.2">
      <c r="A129" s="10">
        <v>21460</v>
      </c>
      <c r="B129" s="11">
        <v>42690</v>
      </c>
      <c r="C129" s="12">
        <v>15</v>
      </c>
      <c r="D129" s="12">
        <v>1.1399999999999999</v>
      </c>
      <c r="E129" s="17"/>
      <c r="F129" s="134">
        <f>+C126</f>
        <v>63.87</v>
      </c>
      <c r="G129" s="123">
        <f>+F129*0.97831</f>
        <v>62.484659700000002</v>
      </c>
      <c r="H129" s="12"/>
      <c r="I129" s="229"/>
      <c r="J129" s="211"/>
      <c r="K129" s="198"/>
      <c r="L129" s="184"/>
    </row>
    <row r="130" spans="1:12" x14ac:dyDescent="0.2">
      <c r="A130" s="10">
        <v>21461</v>
      </c>
      <c r="B130" s="11">
        <v>42691</v>
      </c>
      <c r="C130" s="12">
        <v>17.32</v>
      </c>
      <c r="D130" s="12">
        <v>1.32</v>
      </c>
      <c r="E130" s="17"/>
      <c r="F130" s="18"/>
      <c r="G130" s="19"/>
      <c r="H130" s="12"/>
      <c r="I130" s="229"/>
      <c r="J130" s="211"/>
      <c r="K130" s="198"/>
      <c r="L130" s="184"/>
    </row>
    <row r="131" spans="1:12" x14ac:dyDescent="0.2">
      <c r="A131" s="10">
        <v>21462</v>
      </c>
      <c r="B131" s="11">
        <v>42691</v>
      </c>
      <c r="C131" s="12">
        <v>110</v>
      </c>
      <c r="D131" s="12">
        <v>8.3800000000000008</v>
      </c>
      <c r="E131" s="15" t="s">
        <v>533</v>
      </c>
      <c r="I131" s="229"/>
      <c r="J131" s="211"/>
      <c r="K131" s="198"/>
      <c r="L131" s="184"/>
    </row>
    <row r="132" spans="1:12" x14ac:dyDescent="0.2">
      <c r="A132" s="10">
        <v>21463</v>
      </c>
      <c r="B132" s="11">
        <v>42691</v>
      </c>
      <c r="C132" s="12">
        <v>609.3900000000001</v>
      </c>
      <c r="D132" s="12">
        <v>46.44</v>
      </c>
      <c r="E132" s="15" t="s">
        <v>21</v>
      </c>
      <c r="I132" s="229"/>
      <c r="J132" s="211"/>
      <c r="K132" s="198"/>
      <c r="L132" s="184"/>
    </row>
    <row r="133" spans="1:12" x14ac:dyDescent="0.2">
      <c r="A133" s="10">
        <v>21464</v>
      </c>
      <c r="B133" s="11">
        <v>42691</v>
      </c>
      <c r="C133" s="12">
        <v>81</v>
      </c>
      <c r="D133" s="12">
        <v>6.17</v>
      </c>
      <c r="E133" s="15" t="s">
        <v>533</v>
      </c>
      <c r="F133" s="21"/>
      <c r="G133" s="22"/>
      <c r="H133" s="10"/>
      <c r="I133" s="229"/>
      <c r="J133" s="211"/>
      <c r="K133" s="198"/>
      <c r="L133" s="184"/>
    </row>
    <row r="134" spans="1:12" x14ac:dyDescent="0.2">
      <c r="A134" s="10">
        <v>21465</v>
      </c>
      <c r="B134" s="11">
        <v>42691</v>
      </c>
      <c r="C134" s="12">
        <v>45</v>
      </c>
      <c r="D134" s="12">
        <v>3.43</v>
      </c>
      <c r="E134" s="17"/>
      <c r="I134" s="229"/>
      <c r="J134" s="211"/>
      <c r="K134" s="198"/>
      <c r="L134" s="184"/>
    </row>
    <row r="135" spans="1:12" x14ac:dyDescent="0.2">
      <c r="A135" s="10">
        <v>21466</v>
      </c>
      <c r="B135" s="11">
        <v>42691</v>
      </c>
      <c r="C135" s="12">
        <v>80.11</v>
      </c>
      <c r="D135" s="12">
        <v>6.11</v>
      </c>
      <c r="E135" s="15" t="s">
        <v>533</v>
      </c>
      <c r="I135" s="229"/>
      <c r="J135" s="211"/>
      <c r="K135" s="198"/>
      <c r="L135" s="184"/>
    </row>
    <row r="136" spans="1:12" x14ac:dyDescent="0.2">
      <c r="A136" s="10">
        <v>21467</v>
      </c>
      <c r="B136" s="11">
        <v>42691</v>
      </c>
      <c r="C136" s="12">
        <v>8.66</v>
      </c>
      <c r="D136" s="12">
        <v>0.66</v>
      </c>
      <c r="E136" s="15" t="s">
        <v>11</v>
      </c>
      <c r="F136" s="10"/>
      <c r="G136" s="10"/>
      <c r="H136" s="188"/>
      <c r="I136" s="188"/>
      <c r="J136" s="184"/>
      <c r="K136" s="184"/>
      <c r="L136" s="184"/>
    </row>
    <row r="137" spans="1:12" x14ac:dyDescent="0.2">
      <c r="A137" s="10">
        <v>21468</v>
      </c>
      <c r="B137" s="11">
        <v>42691</v>
      </c>
      <c r="C137" s="12">
        <v>22</v>
      </c>
      <c r="D137" s="12"/>
      <c r="E137" s="13" t="s">
        <v>839</v>
      </c>
      <c r="F137" s="20">
        <f>+C136</f>
        <v>8.66</v>
      </c>
      <c r="G137" s="20">
        <v>8.31</v>
      </c>
      <c r="H137" s="114" t="s">
        <v>840</v>
      </c>
      <c r="I137" s="188"/>
      <c r="J137" s="184"/>
      <c r="K137" s="184"/>
      <c r="L137" s="184"/>
    </row>
    <row r="138" spans="1:12" x14ac:dyDescent="0.2">
      <c r="A138" s="10">
        <v>21469</v>
      </c>
      <c r="B138" s="11">
        <v>42692</v>
      </c>
      <c r="C138" s="12">
        <v>213.79</v>
      </c>
      <c r="D138" s="12">
        <v>16.29</v>
      </c>
      <c r="E138" s="15" t="s">
        <v>533</v>
      </c>
      <c r="F138" s="21"/>
      <c r="G138" s="22"/>
      <c r="H138" s="10"/>
      <c r="I138" s="188"/>
      <c r="J138" s="184"/>
      <c r="K138" s="184"/>
      <c r="L138" s="184"/>
    </row>
    <row r="139" spans="1:12" x14ac:dyDescent="0.2">
      <c r="A139" s="10">
        <v>21470</v>
      </c>
      <c r="B139" s="11">
        <v>42692</v>
      </c>
      <c r="C139" s="12">
        <v>12.99</v>
      </c>
      <c r="D139" s="12">
        <v>0.99</v>
      </c>
      <c r="E139" s="15" t="s">
        <v>7</v>
      </c>
      <c r="F139" s="21"/>
      <c r="G139" s="22"/>
      <c r="H139" s="10"/>
      <c r="I139" s="188"/>
      <c r="J139" s="184"/>
      <c r="K139" s="184"/>
      <c r="L139" s="184"/>
    </row>
    <row r="140" spans="1:12" x14ac:dyDescent="0.2">
      <c r="A140" s="10">
        <v>21471</v>
      </c>
      <c r="B140" s="11">
        <v>42692</v>
      </c>
      <c r="C140" s="12">
        <v>32.479999999999997</v>
      </c>
      <c r="D140" s="12">
        <v>2.48</v>
      </c>
      <c r="E140" s="13"/>
      <c r="F140" s="18"/>
      <c r="G140" s="19"/>
      <c r="H140" s="12"/>
      <c r="I140" s="188"/>
      <c r="J140" s="184"/>
      <c r="K140" s="184"/>
      <c r="L140" s="184"/>
    </row>
    <row r="141" spans="1:12" x14ac:dyDescent="0.2">
      <c r="A141" s="10">
        <v>21472</v>
      </c>
      <c r="B141" s="11">
        <v>42692</v>
      </c>
      <c r="C141" s="12">
        <v>68.2</v>
      </c>
      <c r="D141" s="12">
        <v>5.2</v>
      </c>
      <c r="E141" s="15" t="s">
        <v>11</v>
      </c>
      <c r="F141" s="21"/>
      <c r="G141" s="22"/>
      <c r="H141" s="10"/>
      <c r="I141" s="188"/>
      <c r="J141" s="184"/>
      <c r="K141" s="184"/>
      <c r="L141" s="184"/>
    </row>
    <row r="142" spans="1:12" x14ac:dyDescent="0.2">
      <c r="A142" s="10">
        <v>21473</v>
      </c>
      <c r="B142" s="11">
        <v>42692</v>
      </c>
      <c r="C142" s="12">
        <v>188.45999999999998</v>
      </c>
      <c r="D142" s="12">
        <v>14.36</v>
      </c>
      <c r="E142" s="15" t="s">
        <v>11</v>
      </c>
      <c r="F142" s="21"/>
      <c r="G142" s="22"/>
      <c r="H142" s="10"/>
      <c r="I142" s="188"/>
      <c r="J142" s="184"/>
      <c r="K142" s="184"/>
      <c r="L142" s="184"/>
    </row>
    <row r="143" spans="1:12" x14ac:dyDescent="0.2">
      <c r="A143" s="10">
        <v>21474</v>
      </c>
      <c r="B143" s="11">
        <v>42692</v>
      </c>
      <c r="C143" s="12">
        <v>13.479999999999999</v>
      </c>
      <c r="D143" s="12">
        <v>1.03</v>
      </c>
      <c r="E143" s="13"/>
      <c r="F143" s="18"/>
      <c r="G143" s="19"/>
      <c r="H143" s="12"/>
      <c r="I143" s="188"/>
      <c r="J143" s="184"/>
      <c r="K143" s="184"/>
      <c r="L143" s="184"/>
    </row>
    <row r="144" spans="1:12" x14ac:dyDescent="0.2">
      <c r="A144" s="10">
        <v>21475</v>
      </c>
      <c r="B144" s="11">
        <v>42692</v>
      </c>
      <c r="C144" s="12">
        <v>119.08</v>
      </c>
      <c r="D144" s="12">
        <v>9.08</v>
      </c>
      <c r="E144" s="15" t="s">
        <v>11</v>
      </c>
      <c r="I144" s="188"/>
      <c r="J144" s="184"/>
      <c r="K144" s="184"/>
      <c r="L144" s="184"/>
    </row>
    <row r="145" spans="1:12" x14ac:dyDescent="0.2">
      <c r="A145" s="10">
        <v>21476</v>
      </c>
      <c r="B145" s="11">
        <v>42692</v>
      </c>
      <c r="C145" s="12">
        <v>52.99</v>
      </c>
      <c r="D145" s="12">
        <v>4.04</v>
      </c>
      <c r="E145" s="17"/>
      <c r="F145" s="18"/>
      <c r="G145" s="19"/>
      <c r="H145" s="12"/>
      <c r="I145" s="188"/>
      <c r="J145" s="184"/>
      <c r="K145" s="184"/>
      <c r="L145" s="184"/>
    </row>
    <row r="146" spans="1:12" x14ac:dyDescent="0.2">
      <c r="A146" s="10">
        <v>21477</v>
      </c>
      <c r="B146" s="11">
        <v>42692</v>
      </c>
      <c r="C146" s="12">
        <v>15.610000000000001</v>
      </c>
      <c r="D146" s="12">
        <v>1.19</v>
      </c>
      <c r="E146" s="17"/>
      <c r="F146" s="18"/>
      <c r="G146" s="19"/>
      <c r="H146" s="12"/>
      <c r="I146" s="188"/>
      <c r="J146" s="184"/>
      <c r="K146" s="184"/>
      <c r="L146" s="184"/>
    </row>
    <row r="147" spans="1:12" x14ac:dyDescent="0.2">
      <c r="A147" s="10">
        <v>21478</v>
      </c>
      <c r="B147" s="11">
        <v>42692</v>
      </c>
      <c r="C147" s="12">
        <v>118</v>
      </c>
      <c r="D147" s="12">
        <v>9</v>
      </c>
      <c r="E147" s="15" t="s">
        <v>7</v>
      </c>
      <c r="F147" s="231"/>
      <c r="G147" s="231"/>
      <c r="I147" s="188"/>
      <c r="J147" s="184"/>
      <c r="K147" s="184"/>
      <c r="L147" s="184"/>
    </row>
    <row r="148" spans="1:12" x14ac:dyDescent="0.2">
      <c r="A148" s="10">
        <v>21479</v>
      </c>
      <c r="B148" s="11">
        <v>42692</v>
      </c>
      <c r="C148" s="12">
        <v>23.82</v>
      </c>
      <c r="D148" s="12">
        <v>1.82</v>
      </c>
      <c r="E148" s="15" t="s">
        <v>11</v>
      </c>
      <c r="F148" s="20">
        <f>+C139+C141+C142+C144+C147+C148</f>
        <v>530.54999999999995</v>
      </c>
      <c r="G148" s="20">
        <v>521.66</v>
      </c>
      <c r="H148" s="114" t="s">
        <v>841</v>
      </c>
      <c r="I148" s="188"/>
      <c r="J148" s="184"/>
      <c r="K148" s="184"/>
      <c r="L148" s="184"/>
    </row>
    <row r="149" spans="1:12" x14ac:dyDescent="0.2">
      <c r="A149" s="10">
        <v>21480</v>
      </c>
      <c r="B149" s="11">
        <v>42693</v>
      </c>
      <c r="C149" s="12">
        <v>37.830000000000005</v>
      </c>
      <c r="D149" s="12">
        <v>2.88</v>
      </c>
      <c r="E149" s="15" t="s">
        <v>533</v>
      </c>
      <c r="I149" s="188"/>
      <c r="J149" s="184"/>
      <c r="K149" s="184"/>
      <c r="L149" s="184"/>
    </row>
    <row r="150" spans="1:12" x14ac:dyDescent="0.2">
      <c r="A150" s="10">
        <v>21481</v>
      </c>
      <c r="B150" s="11">
        <v>42693</v>
      </c>
      <c r="C150" s="12">
        <v>21.65</v>
      </c>
      <c r="D150" s="12">
        <v>1.65</v>
      </c>
      <c r="E150" s="17"/>
      <c r="F150" s="18"/>
      <c r="G150" s="19"/>
      <c r="H150" s="12"/>
      <c r="I150" s="188"/>
      <c r="J150" s="184"/>
      <c r="K150" s="184"/>
      <c r="L150" s="184"/>
    </row>
    <row r="151" spans="1:12" x14ac:dyDescent="0.2">
      <c r="A151" s="10">
        <v>21482</v>
      </c>
      <c r="B151" s="11">
        <v>42693</v>
      </c>
      <c r="C151" s="12">
        <v>75.78</v>
      </c>
      <c r="D151" s="12">
        <v>5.78</v>
      </c>
      <c r="E151" s="17"/>
      <c r="F151" s="18"/>
      <c r="G151" s="19"/>
      <c r="H151" s="12"/>
      <c r="I151" s="188"/>
      <c r="J151" s="184"/>
      <c r="K151" s="184"/>
      <c r="L151" s="184"/>
    </row>
    <row r="152" spans="1:12" x14ac:dyDescent="0.2">
      <c r="A152" s="10">
        <v>21483</v>
      </c>
      <c r="B152" s="11">
        <v>42693</v>
      </c>
      <c r="C152" s="12">
        <v>93.53</v>
      </c>
      <c r="D152" s="12">
        <v>7.13</v>
      </c>
      <c r="E152" s="15" t="s">
        <v>11</v>
      </c>
      <c r="F152" s="21"/>
      <c r="G152" s="22"/>
      <c r="H152" s="10"/>
      <c r="I152" s="188"/>
      <c r="J152" s="184"/>
      <c r="K152" s="184"/>
      <c r="L152" s="184"/>
    </row>
    <row r="153" spans="1:12" x14ac:dyDescent="0.2">
      <c r="A153" s="10">
        <v>21484</v>
      </c>
      <c r="B153" s="11">
        <v>42693</v>
      </c>
      <c r="C153" s="12">
        <v>13.53</v>
      </c>
      <c r="D153" s="12">
        <v>1.03</v>
      </c>
      <c r="E153" s="13"/>
      <c r="F153" s="18"/>
      <c r="G153" s="19"/>
      <c r="H153" s="12"/>
      <c r="I153" s="188"/>
      <c r="J153" s="184"/>
      <c r="K153" s="184"/>
      <c r="L153" s="184"/>
    </row>
    <row r="154" spans="1:12" x14ac:dyDescent="0.2">
      <c r="A154" s="10">
        <v>21485</v>
      </c>
      <c r="B154" s="11">
        <v>42693</v>
      </c>
      <c r="C154" s="12">
        <v>16.18</v>
      </c>
      <c r="D154" s="12">
        <v>1.23</v>
      </c>
      <c r="E154" s="15" t="s">
        <v>842</v>
      </c>
      <c r="F154" s="21"/>
      <c r="G154" s="22"/>
      <c r="H154" s="10"/>
      <c r="I154" s="188"/>
      <c r="J154" s="184"/>
      <c r="K154" s="184"/>
      <c r="L154" s="184"/>
    </row>
    <row r="155" spans="1:12" x14ac:dyDescent="0.2">
      <c r="A155" s="10">
        <v>21486</v>
      </c>
      <c r="B155" s="11">
        <v>42693</v>
      </c>
      <c r="C155" s="12">
        <v>129.9</v>
      </c>
      <c r="D155" s="12">
        <v>9.9</v>
      </c>
      <c r="E155" s="17"/>
      <c r="F155" s="18"/>
      <c r="G155" s="19"/>
      <c r="H155" s="12"/>
      <c r="I155" s="188"/>
      <c r="J155" s="184"/>
      <c r="K155" s="184"/>
      <c r="L155" s="184"/>
    </row>
    <row r="156" spans="1:12" x14ac:dyDescent="0.2">
      <c r="A156" s="10">
        <v>21487</v>
      </c>
      <c r="B156" s="11">
        <v>42693</v>
      </c>
      <c r="C156" s="12">
        <v>226.2</v>
      </c>
      <c r="D156" s="12"/>
      <c r="E156" s="15" t="s">
        <v>39</v>
      </c>
      <c r="F156" s="18"/>
      <c r="G156" s="19"/>
      <c r="H156" s="12"/>
      <c r="I156" s="188"/>
      <c r="J156" s="184"/>
      <c r="K156" s="184"/>
      <c r="L156" s="184"/>
    </row>
    <row r="157" spans="1:12" x14ac:dyDescent="0.2">
      <c r="A157" s="10">
        <v>21488</v>
      </c>
      <c r="B157" s="11">
        <v>42693</v>
      </c>
      <c r="C157" s="12">
        <v>73</v>
      </c>
      <c r="D157" s="12"/>
      <c r="E157" s="15" t="s">
        <v>39</v>
      </c>
      <c r="I157" s="188"/>
      <c r="J157" s="184"/>
      <c r="K157" s="184"/>
      <c r="L157" s="184"/>
    </row>
    <row r="158" spans="1:12" x14ac:dyDescent="0.2">
      <c r="A158" s="10">
        <v>21489</v>
      </c>
      <c r="B158" s="11">
        <v>42693</v>
      </c>
      <c r="C158" s="12">
        <v>16.18</v>
      </c>
      <c r="D158" s="12">
        <v>1.23</v>
      </c>
      <c r="E158" s="15" t="s">
        <v>533</v>
      </c>
      <c r="F158" s="20">
        <f>131.01+C152+C154+128.71</f>
        <v>369.43</v>
      </c>
      <c r="G158" s="20">
        <f>238.03+111.66</f>
        <v>349.69</v>
      </c>
      <c r="H158" s="114"/>
      <c r="I158" s="188"/>
      <c r="J158" s="184"/>
      <c r="K158" s="184"/>
      <c r="L158" s="184"/>
    </row>
    <row r="159" spans="1:12" x14ac:dyDescent="0.2">
      <c r="A159" s="10">
        <v>21490</v>
      </c>
      <c r="B159" s="11">
        <v>42695</v>
      </c>
      <c r="C159" s="12">
        <v>7.58</v>
      </c>
      <c r="D159" s="12">
        <v>0.57999999999999996</v>
      </c>
      <c r="E159" s="12"/>
      <c r="F159" s="12"/>
      <c r="G159" s="185"/>
      <c r="H159" s="191"/>
      <c r="L159" s="184"/>
    </row>
    <row r="160" spans="1:12" x14ac:dyDescent="0.2">
      <c r="A160" s="10">
        <v>21491</v>
      </c>
      <c r="B160" s="11">
        <v>42695</v>
      </c>
      <c r="C160" s="12">
        <v>16.18</v>
      </c>
      <c r="D160" s="12">
        <v>1.23</v>
      </c>
      <c r="E160" s="15" t="s">
        <v>11</v>
      </c>
      <c r="H160" s="4"/>
      <c r="I160" s="77"/>
      <c r="J160" s="77"/>
      <c r="K160" s="77"/>
    </row>
    <row r="161" spans="1:11" x14ac:dyDescent="0.2">
      <c r="A161" s="10">
        <v>21492</v>
      </c>
      <c r="B161" s="11">
        <v>42695</v>
      </c>
      <c r="C161" s="12">
        <v>101.76</v>
      </c>
      <c r="D161" s="12">
        <v>7.76</v>
      </c>
      <c r="E161" s="17"/>
      <c r="F161" s="18"/>
      <c r="G161" s="19"/>
      <c r="H161" s="12"/>
      <c r="I161" s="77"/>
      <c r="J161" s="77"/>
      <c r="K161" s="77"/>
    </row>
    <row r="162" spans="1:11" x14ac:dyDescent="0.2">
      <c r="A162" s="10">
        <v>21493</v>
      </c>
      <c r="B162" s="11">
        <v>42695</v>
      </c>
      <c r="C162" s="12">
        <v>193.77</v>
      </c>
      <c r="D162" s="12">
        <v>14.77</v>
      </c>
      <c r="E162" s="17"/>
      <c r="F162" s="18"/>
      <c r="G162" s="19"/>
      <c r="H162" s="12"/>
      <c r="I162" s="77"/>
      <c r="J162" s="77"/>
      <c r="K162" s="77"/>
    </row>
    <row r="163" spans="1:11" x14ac:dyDescent="0.2">
      <c r="A163" s="10">
        <v>21494</v>
      </c>
      <c r="B163" s="11">
        <v>42695</v>
      </c>
      <c r="C163" s="12">
        <v>32.479999999999997</v>
      </c>
      <c r="D163" s="12">
        <v>2.48</v>
      </c>
      <c r="E163" s="15" t="s">
        <v>7</v>
      </c>
      <c r="H163" s="10"/>
      <c r="I163" s="183"/>
      <c r="J163" s="77"/>
      <c r="K163" s="77"/>
    </row>
    <row r="164" spans="1:11" x14ac:dyDescent="0.2">
      <c r="A164" s="10">
        <v>21495</v>
      </c>
      <c r="B164" s="11">
        <v>42695</v>
      </c>
      <c r="C164" s="12">
        <v>55</v>
      </c>
      <c r="D164" s="12"/>
      <c r="E164" s="13" t="s">
        <v>8</v>
      </c>
      <c r="H164" s="12"/>
      <c r="I164" s="183"/>
      <c r="J164" s="77"/>
      <c r="K164" s="77"/>
    </row>
    <row r="165" spans="1:11" x14ac:dyDescent="0.2">
      <c r="A165" s="10">
        <v>21496</v>
      </c>
      <c r="B165" s="11">
        <v>42695</v>
      </c>
      <c r="C165" s="12">
        <v>80</v>
      </c>
      <c r="D165" s="12">
        <v>6.1</v>
      </c>
      <c r="E165" s="15" t="s">
        <v>21</v>
      </c>
      <c r="F165" s="21"/>
      <c r="G165" s="22"/>
      <c r="H165" s="10"/>
      <c r="I165" s="183"/>
      <c r="J165" s="77"/>
      <c r="K165" s="77"/>
    </row>
    <row r="166" spans="1:11" x14ac:dyDescent="0.2">
      <c r="A166" s="10">
        <v>21497</v>
      </c>
      <c r="B166" s="11">
        <v>42695</v>
      </c>
      <c r="C166" s="12">
        <v>43</v>
      </c>
      <c r="D166" s="12">
        <v>3.28</v>
      </c>
      <c r="E166" s="15" t="s">
        <v>11</v>
      </c>
      <c r="I166" s="183"/>
      <c r="J166" s="77"/>
      <c r="K166" s="77"/>
    </row>
    <row r="167" spans="1:11" x14ac:dyDescent="0.2">
      <c r="A167" s="10">
        <v>21498</v>
      </c>
      <c r="B167" s="11">
        <v>42695</v>
      </c>
      <c r="C167" s="12">
        <v>252.22</v>
      </c>
      <c r="D167" s="12">
        <v>19.22</v>
      </c>
      <c r="E167" s="15" t="s">
        <v>843</v>
      </c>
      <c r="F167" s="20">
        <f>+C160+C163+C166</f>
        <v>91.66</v>
      </c>
      <c r="G167" s="20">
        <v>90.13</v>
      </c>
      <c r="H167" s="10"/>
      <c r="I167" s="183"/>
      <c r="J167" s="77"/>
      <c r="K167" s="77"/>
    </row>
    <row r="168" spans="1:11" x14ac:dyDescent="0.2">
      <c r="A168" s="10">
        <v>21499</v>
      </c>
      <c r="B168" s="11">
        <v>42696</v>
      </c>
      <c r="C168" s="12">
        <v>153.16999999999999</v>
      </c>
      <c r="D168" s="12">
        <v>11.67</v>
      </c>
      <c r="E168" s="15" t="s">
        <v>26</v>
      </c>
      <c r="I168" s="183"/>
      <c r="J168" s="77"/>
      <c r="K168" s="77"/>
    </row>
    <row r="169" spans="1:11" x14ac:dyDescent="0.2">
      <c r="A169" s="10">
        <v>21500</v>
      </c>
      <c r="B169" s="11">
        <v>42696</v>
      </c>
      <c r="C169" s="12">
        <v>53.48</v>
      </c>
      <c r="D169" s="12"/>
      <c r="E169" s="15" t="s">
        <v>82</v>
      </c>
      <c r="I169" s="183"/>
      <c r="J169" s="77"/>
      <c r="K169" s="77"/>
    </row>
    <row r="170" spans="1:11" x14ac:dyDescent="0.2">
      <c r="A170" s="10">
        <v>21501</v>
      </c>
      <c r="B170" s="11">
        <v>42696</v>
      </c>
      <c r="C170" s="12">
        <v>130</v>
      </c>
      <c r="D170" s="12">
        <v>9.91</v>
      </c>
      <c r="E170" s="17"/>
      <c r="I170" s="183"/>
      <c r="J170" s="77"/>
      <c r="K170" s="77"/>
    </row>
    <row r="171" spans="1:11" x14ac:dyDescent="0.2">
      <c r="A171" s="10">
        <v>21502</v>
      </c>
      <c r="B171" s="11">
        <v>42696</v>
      </c>
      <c r="C171" s="12">
        <v>190.52</v>
      </c>
      <c r="D171" s="12">
        <v>14.52</v>
      </c>
      <c r="E171" s="15" t="s">
        <v>21</v>
      </c>
      <c r="I171" s="183"/>
      <c r="J171" s="77"/>
      <c r="K171" s="77"/>
    </row>
    <row r="172" spans="1:11" x14ac:dyDescent="0.2">
      <c r="A172" s="10">
        <v>21503</v>
      </c>
      <c r="B172" s="11">
        <v>42696</v>
      </c>
      <c r="C172" s="12">
        <v>331.25</v>
      </c>
      <c r="D172" s="12">
        <v>25.25</v>
      </c>
      <c r="E172" s="15" t="s">
        <v>21</v>
      </c>
      <c r="F172" s="21"/>
      <c r="G172" s="22"/>
      <c r="H172" s="10"/>
      <c r="I172" s="183"/>
      <c r="J172" s="77"/>
      <c r="K172" s="77"/>
    </row>
    <row r="173" spans="1:11" x14ac:dyDescent="0.2">
      <c r="A173" s="10">
        <v>21504</v>
      </c>
      <c r="B173" s="11">
        <v>42696</v>
      </c>
      <c r="C173" s="12">
        <v>214.06</v>
      </c>
      <c r="D173" s="12">
        <v>16.309999999999999</v>
      </c>
      <c r="E173" s="15" t="s">
        <v>21</v>
      </c>
      <c r="I173" s="183"/>
      <c r="J173" s="77"/>
      <c r="K173" s="77"/>
    </row>
    <row r="174" spans="1:11" x14ac:dyDescent="0.2">
      <c r="A174" s="10">
        <v>21505</v>
      </c>
      <c r="B174" s="11">
        <v>42696</v>
      </c>
      <c r="C174" s="12">
        <v>36.81</v>
      </c>
      <c r="D174" s="12">
        <v>2.81</v>
      </c>
      <c r="E174" s="15" t="s">
        <v>11</v>
      </c>
      <c r="F174" s="21"/>
      <c r="G174" s="22"/>
      <c r="H174" s="10"/>
      <c r="I174" s="183"/>
      <c r="J174" s="77"/>
      <c r="K174" s="77"/>
    </row>
    <row r="175" spans="1:11" x14ac:dyDescent="0.2">
      <c r="A175" s="10">
        <v>21506</v>
      </c>
      <c r="B175" s="11">
        <v>42696</v>
      </c>
      <c r="C175" s="12">
        <v>192.69</v>
      </c>
      <c r="D175" s="12">
        <v>14.69</v>
      </c>
      <c r="E175" s="15" t="s">
        <v>7</v>
      </c>
      <c r="F175" s="21"/>
      <c r="G175" s="22"/>
      <c r="H175" s="10"/>
      <c r="I175" s="183"/>
      <c r="J175" s="77"/>
      <c r="K175" s="77"/>
    </row>
    <row r="176" spans="1:11" x14ac:dyDescent="0.2">
      <c r="A176" s="10">
        <v>21507</v>
      </c>
      <c r="B176" s="11">
        <v>42696</v>
      </c>
      <c r="C176" s="12">
        <v>23.27</v>
      </c>
      <c r="D176" s="12">
        <v>1.77</v>
      </c>
      <c r="E176" s="15" t="s">
        <v>533</v>
      </c>
      <c r="F176" s="21"/>
      <c r="G176" s="22"/>
      <c r="H176" s="10"/>
      <c r="I176" s="183"/>
      <c r="J176" s="77"/>
      <c r="K176" s="77"/>
    </row>
    <row r="177" spans="1:12" x14ac:dyDescent="0.2">
      <c r="A177" s="10">
        <v>21508</v>
      </c>
      <c r="B177" s="11">
        <v>42696</v>
      </c>
      <c r="C177" s="12">
        <v>10.77</v>
      </c>
      <c r="D177" s="12">
        <v>0.82</v>
      </c>
      <c r="E177" s="15" t="s">
        <v>533</v>
      </c>
      <c r="I177" s="183"/>
      <c r="J177" s="77"/>
      <c r="K177" s="77"/>
    </row>
    <row r="178" spans="1:12" x14ac:dyDescent="0.2">
      <c r="A178" s="10">
        <v>21509</v>
      </c>
      <c r="B178" s="11">
        <v>42696</v>
      </c>
      <c r="C178" s="12">
        <v>58.5</v>
      </c>
      <c r="D178" s="12"/>
      <c r="E178" s="15" t="s">
        <v>82</v>
      </c>
      <c r="F178" s="20">
        <f>+C174+C175+177.11</f>
        <v>406.61</v>
      </c>
      <c r="G178" s="20">
        <f>228.08+153.65</f>
        <v>381.73</v>
      </c>
      <c r="H178" s="114"/>
      <c r="I178" s="183"/>
      <c r="J178" s="77"/>
      <c r="K178" s="77"/>
    </row>
    <row r="179" spans="1:12" x14ac:dyDescent="0.2">
      <c r="A179" s="10">
        <v>21510</v>
      </c>
      <c r="B179" s="11">
        <v>42697</v>
      </c>
      <c r="C179" s="12">
        <v>21.6</v>
      </c>
      <c r="D179" s="12">
        <v>1.65</v>
      </c>
      <c r="E179" s="17"/>
      <c r="F179" s="18"/>
      <c r="G179" s="19"/>
      <c r="H179" s="12"/>
      <c r="I179" s="183"/>
      <c r="J179" s="77"/>
      <c r="K179" s="77"/>
    </row>
    <row r="180" spans="1:12" x14ac:dyDescent="0.2">
      <c r="A180" s="10">
        <v>21511</v>
      </c>
      <c r="B180" s="11">
        <v>42697</v>
      </c>
      <c r="C180" s="12">
        <v>70.36</v>
      </c>
      <c r="D180" s="12">
        <v>5.36</v>
      </c>
      <c r="E180" s="15" t="s">
        <v>533</v>
      </c>
      <c r="I180" s="183"/>
      <c r="J180" s="77"/>
      <c r="K180" s="77"/>
    </row>
    <row r="181" spans="1:12" x14ac:dyDescent="0.2">
      <c r="A181" s="10">
        <v>21512</v>
      </c>
      <c r="B181" s="11">
        <v>42697</v>
      </c>
      <c r="C181" s="12">
        <v>66</v>
      </c>
      <c r="D181" s="12">
        <v>5.03</v>
      </c>
      <c r="E181" s="17"/>
      <c r="F181" s="12"/>
      <c r="G181" s="185"/>
      <c r="H181" s="191"/>
      <c r="I181" s="184"/>
      <c r="J181" s="184"/>
      <c r="K181" s="184"/>
      <c r="L181" s="184"/>
    </row>
    <row r="182" spans="1:12" x14ac:dyDescent="0.2">
      <c r="A182" s="10">
        <v>21513</v>
      </c>
      <c r="B182" s="11">
        <v>42697</v>
      </c>
      <c r="C182" s="12">
        <v>75.78</v>
      </c>
      <c r="D182" s="12">
        <v>5.78</v>
      </c>
      <c r="E182" s="15"/>
      <c r="F182" s="10"/>
      <c r="G182" s="183"/>
      <c r="H182" s="188"/>
      <c r="I182" s="188"/>
      <c r="J182" s="184"/>
      <c r="K182" s="184"/>
      <c r="L182" s="184"/>
    </row>
    <row r="183" spans="1:12" x14ac:dyDescent="0.2">
      <c r="A183" s="10">
        <v>21514</v>
      </c>
      <c r="B183" s="11">
        <v>42697</v>
      </c>
      <c r="C183" s="12">
        <v>120.16</v>
      </c>
      <c r="D183" s="12">
        <v>9.16</v>
      </c>
      <c r="E183" s="17"/>
      <c r="I183" s="188"/>
      <c r="J183" s="184"/>
      <c r="K183" s="184"/>
      <c r="L183" s="184"/>
    </row>
    <row r="184" spans="1:12" x14ac:dyDescent="0.2">
      <c r="A184" s="10">
        <v>21515</v>
      </c>
      <c r="B184" s="11">
        <v>42697</v>
      </c>
      <c r="C184" s="12">
        <v>2.7</v>
      </c>
      <c r="D184" s="12">
        <v>0.21</v>
      </c>
      <c r="E184" s="17"/>
      <c r="I184" s="188"/>
      <c r="J184" s="184"/>
      <c r="K184" s="184"/>
      <c r="L184" s="184"/>
    </row>
    <row r="185" spans="1:12" x14ac:dyDescent="0.2">
      <c r="A185" s="10">
        <v>21516</v>
      </c>
      <c r="B185" s="11">
        <v>42697</v>
      </c>
      <c r="C185" s="12">
        <v>45</v>
      </c>
      <c r="D185" s="12">
        <v>3.43</v>
      </c>
      <c r="E185" s="15" t="s">
        <v>7</v>
      </c>
      <c r="F185" s="21"/>
      <c r="G185" s="22"/>
      <c r="H185" s="10"/>
      <c r="I185" s="188"/>
      <c r="J185" s="184"/>
      <c r="K185" s="184"/>
      <c r="L185" s="184"/>
    </row>
    <row r="186" spans="1:12" x14ac:dyDescent="0.2">
      <c r="A186" s="10">
        <v>21517</v>
      </c>
      <c r="B186" s="11">
        <v>42697</v>
      </c>
      <c r="C186" s="12">
        <v>20.57</v>
      </c>
      <c r="D186" s="12">
        <v>1.57</v>
      </c>
      <c r="E186" s="15" t="s">
        <v>11</v>
      </c>
      <c r="F186" s="21"/>
      <c r="G186" s="22"/>
      <c r="H186" s="10"/>
      <c r="I186" s="188"/>
      <c r="J186" s="184"/>
      <c r="K186" s="184"/>
      <c r="L186" s="184"/>
    </row>
    <row r="187" spans="1:12" x14ac:dyDescent="0.2">
      <c r="A187" s="10">
        <v>21518</v>
      </c>
      <c r="B187" s="11">
        <v>42697</v>
      </c>
      <c r="C187" s="12">
        <v>60.62</v>
      </c>
      <c r="D187" s="12">
        <v>4.62</v>
      </c>
      <c r="E187" s="15" t="s">
        <v>533</v>
      </c>
      <c r="I187" s="188"/>
      <c r="J187" s="184"/>
      <c r="K187" s="184"/>
      <c r="L187" s="184"/>
    </row>
    <row r="188" spans="1:12" x14ac:dyDescent="0.2">
      <c r="A188" s="10">
        <v>21519</v>
      </c>
      <c r="B188" s="11">
        <v>42697</v>
      </c>
      <c r="C188" s="12">
        <v>160</v>
      </c>
      <c r="D188" s="12">
        <v>12.19</v>
      </c>
      <c r="E188" s="15" t="s">
        <v>7</v>
      </c>
      <c r="I188" s="188"/>
      <c r="J188" s="184"/>
      <c r="K188" s="184"/>
      <c r="L188" s="184"/>
    </row>
    <row r="189" spans="1:12" x14ac:dyDescent="0.2">
      <c r="A189" s="10">
        <v>21520</v>
      </c>
      <c r="B189" s="11">
        <v>42697</v>
      </c>
      <c r="C189" s="12">
        <v>252.89</v>
      </c>
      <c r="D189" s="12">
        <v>18.89</v>
      </c>
      <c r="E189" s="15" t="s">
        <v>21</v>
      </c>
      <c r="F189" s="21"/>
      <c r="G189" s="22"/>
      <c r="H189" s="10"/>
      <c r="I189" s="188"/>
      <c r="J189" s="184"/>
      <c r="K189" s="184"/>
      <c r="L189" s="184"/>
    </row>
    <row r="190" spans="1:12" x14ac:dyDescent="0.2">
      <c r="A190" s="10">
        <v>21521</v>
      </c>
      <c r="B190" s="11">
        <v>42697</v>
      </c>
      <c r="C190" s="12">
        <v>67.87</v>
      </c>
      <c r="D190" s="12">
        <v>4.87</v>
      </c>
      <c r="E190" s="17"/>
      <c r="F190" s="18"/>
      <c r="G190" s="19"/>
      <c r="H190" s="12"/>
      <c r="I190" s="188"/>
      <c r="J190" s="184"/>
      <c r="K190" s="184"/>
      <c r="L190" s="184"/>
    </row>
    <row r="191" spans="1:12" x14ac:dyDescent="0.2">
      <c r="A191" s="10">
        <v>21522</v>
      </c>
      <c r="B191" s="11">
        <v>42697</v>
      </c>
      <c r="C191" s="12">
        <v>9.74</v>
      </c>
      <c r="D191" s="12">
        <v>0.74</v>
      </c>
      <c r="E191" s="17"/>
      <c r="F191" s="20">
        <f>+C185+C186+C188+380.98</f>
        <v>606.54999999999995</v>
      </c>
      <c r="G191" s="20">
        <f>221.93+330.49</f>
        <v>552.42000000000007</v>
      </c>
      <c r="H191" s="114"/>
      <c r="I191" s="188"/>
      <c r="J191" s="184"/>
      <c r="K191" s="184"/>
      <c r="L191" s="184"/>
    </row>
    <row r="192" spans="1:12" x14ac:dyDescent="0.2">
      <c r="A192" s="10">
        <v>21523</v>
      </c>
      <c r="B192" s="11">
        <v>42699</v>
      </c>
      <c r="C192" s="12">
        <v>11.91</v>
      </c>
      <c r="D192" s="12">
        <v>0.91</v>
      </c>
      <c r="E192" s="17"/>
      <c r="F192" s="18"/>
      <c r="G192" s="19"/>
      <c r="H192" s="12"/>
      <c r="I192" s="188"/>
      <c r="J192" s="184"/>
      <c r="K192" s="184"/>
      <c r="L192" s="184"/>
    </row>
    <row r="193" spans="1:12" x14ac:dyDescent="0.2">
      <c r="A193" s="10">
        <v>21524</v>
      </c>
      <c r="B193" s="11">
        <v>42699</v>
      </c>
      <c r="C193" s="12">
        <v>19.489999999999998</v>
      </c>
      <c r="D193" s="12">
        <v>1.49</v>
      </c>
      <c r="E193" s="17"/>
      <c r="I193" s="188"/>
      <c r="J193" s="184"/>
      <c r="K193" s="184"/>
      <c r="L193" s="184"/>
    </row>
    <row r="194" spans="1:12" x14ac:dyDescent="0.2">
      <c r="A194" s="10">
        <v>21525</v>
      </c>
      <c r="B194" s="11">
        <v>42699</v>
      </c>
      <c r="C194" s="12">
        <v>136.94</v>
      </c>
      <c r="D194" s="12">
        <v>10.44</v>
      </c>
      <c r="E194" s="15" t="s">
        <v>21</v>
      </c>
      <c r="F194" s="21"/>
      <c r="G194" s="22"/>
      <c r="H194" s="10"/>
      <c r="I194" s="188"/>
      <c r="J194" s="184"/>
      <c r="K194" s="184"/>
      <c r="L194" s="184"/>
    </row>
    <row r="195" spans="1:12" x14ac:dyDescent="0.2">
      <c r="A195" s="10">
        <v>21526</v>
      </c>
      <c r="B195" s="11">
        <v>42699</v>
      </c>
      <c r="C195" s="12">
        <v>6.5</v>
      </c>
      <c r="D195" s="12">
        <v>0.5</v>
      </c>
      <c r="E195" s="15" t="s">
        <v>11</v>
      </c>
      <c r="F195" s="21"/>
      <c r="G195" s="22"/>
      <c r="H195" s="10"/>
      <c r="I195" s="188"/>
      <c r="J195" s="184"/>
      <c r="K195" s="184"/>
      <c r="L195" s="184"/>
    </row>
    <row r="196" spans="1:12" x14ac:dyDescent="0.2">
      <c r="A196" s="10">
        <v>21527</v>
      </c>
      <c r="B196" s="11">
        <v>42699</v>
      </c>
      <c r="C196" s="12">
        <v>127</v>
      </c>
      <c r="D196" s="12">
        <v>9.68</v>
      </c>
      <c r="E196" s="17"/>
      <c r="I196" s="188"/>
      <c r="J196" s="184"/>
      <c r="K196" s="184"/>
      <c r="L196" s="184"/>
    </row>
    <row r="197" spans="1:12" x14ac:dyDescent="0.2">
      <c r="A197" s="10">
        <v>21528</v>
      </c>
      <c r="B197" s="11">
        <v>42699</v>
      </c>
      <c r="C197" s="12">
        <v>214.88</v>
      </c>
      <c r="D197" s="12">
        <v>16.38</v>
      </c>
      <c r="E197" s="15"/>
      <c r="F197" s="21"/>
      <c r="G197" s="22"/>
      <c r="H197" s="10"/>
      <c r="I197" s="188"/>
      <c r="J197" s="184"/>
      <c r="K197" s="184"/>
      <c r="L197" s="184"/>
    </row>
    <row r="198" spans="1:12" x14ac:dyDescent="0.2">
      <c r="A198" s="10">
        <v>21529</v>
      </c>
      <c r="B198" s="11">
        <v>42699</v>
      </c>
      <c r="C198" s="12">
        <v>189.98</v>
      </c>
      <c r="D198" s="12">
        <v>14.48</v>
      </c>
      <c r="E198" s="15" t="s">
        <v>844</v>
      </c>
      <c r="F198" s="21"/>
      <c r="G198" s="22"/>
      <c r="H198" s="10"/>
      <c r="I198" s="188"/>
      <c r="J198" s="184"/>
      <c r="K198" s="184"/>
      <c r="L198" s="184"/>
    </row>
    <row r="199" spans="1:12" x14ac:dyDescent="0.2">
      <c r="A199" s="10">
        <v>21530</v>
      </c>
      <c r="B199" s="11">
        <v>42699</v>
      </c>
      <c r="C199" s="12">
        <v>12</v>
      </c>
      <c r="D199" s="12">
        <v>0.91</v>
      </c>
      <c r="E199" s="17"/>
      <c r="I199" s="188"/>
      <c r="J199" s="184"/>
      <c r="K199" s="184"/>
      <c r="L199" s="184"/>
    </row>
    <row r="200" spans="1:12" x14ac:dyDescent="0.2">
      <c r="A200" s="10">
        <v>21531</v>
      </c>
      <c r="B200" s="11">
        <v>42699</v>
      </c>
      <c r="C200" s="12">
        <v>40.049999999999997</v>
      </c>
      <c r="D200" s="12">
        <v>3.05</v>
      </c>
      <c r="E200" s="17"/>
      <c r="F200" s="18"/>
      <c r="G200" s="19"/>
      <c r="H200" s="12"/>
      <c r="I200" s="188"/>
      <c r="J200" s="184"/>
      <c r="K200" s="184"/>
      <c r="L200" s="184"/>
    </row>
    <row r="201" spans="1:12" x14ac:dyDescent="0.2">
      <c r="A201" s="10">
        <v>21532</v>
      </c>
      <c r="B201" s="11">
        <v>42699</v>
      </c>
      <c r="C201" s="12">
        <v>275</v>
      </c>
      <c r="D201" s="12">
        <v>20.96</v>
      </c>
      <c r="E201" s="17"/>
      <c r="F201" s="18"/>
      <c r="G201" s="19"/>
      <c r="H201" s="12"/>
      <c r="I201" s="188"/>
      <c r="J201" s="184"/>
      <c r="K201" s="184"/>
      <c r="L201" s="184"/>
    </row>
    <row r="202" spans="1:12" x14ac:dyDescent="0.2">
      <c r="A202" s="10">
        <v>21533</v>
      </c>
      <c r="B202" s="11">
        <v>42699</v>
      </c>
      <c r="C202" s="12">
        <v>6.5</v>
      </c>
      <c r="D202" s="12">
        <v>0.5</v>
      </c>
      <c r="E202" s="17"/>
      <c r="I202" s="188"/>
      <c r="J202" s="184"/>
      <c r="K202" s="184"/>
      <c r="L202" s="184"/>
    </row>
    <row r="203" spans="1:12" x14ac:dyDescent="0.2">
      <c r="A203" s="10">
        <v>21534</v>
      </c>
      <c r="B203" s="11">
        <v>42699</v>
      </c>
      <c r="C203" s="12">
        <v>6.5</v>
      </c>
      <c r="D203" s="12">
        <v>0.5</v>
      </c>
      <c r="E203" s="17"/>
      <c r="F203" s="20">
        <f>150+6.5</f>
        <v>156.5</v>
      </c>
      <c r="G203" s="20">
        <v>153.87</v>
      </c>
      <c r="H203" s="114"/>
      <c r="I203" s="188"/>
      <c r="J203" s="184"/>
      <c r="K203" s="184"/>
      <c r="L203" s="184"/>
    </row>
    <row r="204" spans="1:12" x14ac:dyDescent="0.2">
      <c r="A204" s="10">
        <v>21535</v>
      </c>
      <c r="B204" s="11">
        <v>42700</v>
      </c>
      <c r="C204" s="12">
        <v>9.74</v>
      </c>
      <c r="D204" s="12">
        <v>0.74</v>
      </c>
      <c r="E204" s="15" t="s">
        <v>11</v>
      </c>
      <c r="F204" s="21"/>
      <c r="G204" s="22"/>
      <c r="H204" s="10"/>
      <c r="I204" s="188"/>
      <c r="J204" s="184"/>
      <c r="K204" s="184"/>
      <c r="L204" s="184"/>
    </row>
    <row r="205" spans="1:12" x14ac:dyDescent="0.2">
      <c r="A205" s="10">
        <v>21536</v>
      </c>
      <c r="B205" s="11">
        <v>42700</v>
      </c>
      <c r="C205" s="12">
        <v>11.91</v>
      </c>
      <c r="D205" s="12">
        <v>0.91</v>
      </c>
      <c r="E205" s="17"/>
      <c r="F205" s="18"/>
      <c r="G205" s="19"/>
      <c r="H205" s="12"/>
      <c r="I205" s="188"/>
      <c r="J205" s="184"/>
      <c r="K205" s="184"/>
      <c r="L205" s="184"/>
    </row>
    <row r="206" spans="1:12" x14ac:dyDescent="0.2">
      <c r="A206" s="10">
        <v>21537</v>
      </c>
      <c r="B206" s="11">
        <v>42700</v>
      </c>
      <c r="C206" s="12">
        <v>36.81</v>
      </c>
      <c r="D206" s="12">
        <v>2.81</v>
      </c>
      <c r="E206" s="17"/>
      <c r="H206" s="12"/>
      <c r="I206" s="188"/>
      <c r="J206" s="184"/>
      <c r="K206" s="184"/>
      <c r="L206" s="184"/>
    </row>
    <row r="207" spans="1:12" x14ac:dyDescent="0.2">
      <c r="A207" s="10">
        <v>21538</v>
      </c>
      <c r="B207" s="11">
        <v>42700</v>
      </c>
      <c r="C207" s="12">
        <v>75.78</v>
      </c>
      <c r="D207" s="12">
        <v>5.78</v>
      </c>
      <c r="E207" s="15"/>
      <c r="H207" s="10"/>
      <c r="I207" s="188"/>
      <c r="J207" s="184"/>
      <c r="K207" s="184"/>
      <c r="L207" s="184"/>
    </row>
    <row r="208" spans="1:12" x14ac:dyDescent="0.2">
      <c r="A208" s="10">
        <v>21539</v>
      </c>
      <c r="B208" s="11">
        <v>42700</v>
      </c>
      <c r="C208" s="12">
        <v>75.23</v>
      </c>
      <c r="D208" s="12">
        <v>5.73</v>
      </c>
      <c r="E208" s="15"/>
      <c r="F208" s="21"/>
      <c r="G208" s="22"/>
      <c r="H208" s="10"/>
      <c r="I208" s="188"/>
      <c r="J208" s="184"/>
      <c r="K208" s="184"/>
      <c r="L208" s="184"/>
    </row>
    <row r="209" spans="1:12" x14ac:dyDescent="0.2">
      <c r="A209" s="10">
        <v>21540</v>
      </c>
      <c r="B209" s="11">
        <v>42700</v>
      </c>
      <c r="C209" s="12">
        <v>27</v>
      </c>
      <c r="D209" s="12">
        <v>2.06</v>
      </c>
      <c r="E209" s="15" t="s">
        <v>11</v>
      </c>
      <c r="H209" s="10"/>
      <c r="I209" s="188"/>
      <c r="J209" s="184"/>
      <c r="K209" s="184"/>
      <c r="L209" s="184"/>
    </row>
    <row r="210" spans="1:12" x14ac:dyDescent="0.2">
      <c r="A210" s="10">
        <v>21541</v>
      </c>
      <c r="B210" s="11">
        <v>42700</v>
      </c>
      <c r="C210" s="12">
        <v>313.59999999999997</v>
      </c>
      <c r="D210" s="12">
        <v>23.9</v>
      </c>
      <c r="E210" s="15" t="s">
        <v>533</v>
      </c>
      <c r="F210" s="20">
        <f>+C204+C209+300</f>
        <v>336.74</v>
      </c>
      <c r="G210" s="20">
        <f>35.88+260.25</f>
        <v>296.13</v>
      </c>
      <c r="H210" s="114"/>
      <c r="I210" s="188"/>
      <c r="J210" s="184"/>
      <c r="K210" s="184"/>
      <c r="L210" s="184"/>
    </row>
    <row r="211" spans="1:12" x14ac:dyDescent="0.2">
      <c r="A211" s="10">
        <v>21542</v>
      </c>
      <c r="B211" s="11">
        <v>42702</v>
      </c>
      <c r="C211" s="12">
        <v>17.32</v>
      </c>
      <c r="D211" s="12">
        <v>1.32</v>
      </c>
      <c r="E211" s="17"/>
      <c r="H211" s="12"/>
      <c r="I211" s="188"/>
      <c r="J211" s="184"/>
      <c r="K211" s="184"/>
      <c r="L211" s="184"/>
    </row>
    <row r="212" spans="1:12" x14ac:dyDescent="0.2">
      <c r="A212" s="10">
        <v>21543</v>
      </c>
      <c r="B212" s="11">
        <v>42702</v>
      </c>
      <c r="C212" s="12">
        <v>324.20999999999998</v>
      </c>
      <c r="D212" s="12">
        <v>24.71</v>
      </c>
      <c r="E212" s="15" t="s">
        <v>845</v>
      </c>
      <c r="I212" s="188"/>
      <c r="J212" s="184"/>
      <c r="K212" s="184"/>
      <c r="L212" s="184"/>
    </row>
    <row r="213" spans="1:12" x14ac:dyDescent="0.2">
      <c r="A213" s="10">
        <v>21544</v>
      </c>
      <c r="B213" s="11">
        <v>42702</v>
      </c>
      <c r="C213" s="12">
        <v>160.21</v>
      </c>
      <c r="D213" s="12">
        <v>12.21</v>
      </c>
      <c r="E213" s="15" t="s">
        <v>21</v>
      </c>
      <c r="F213" s="21"/>
      <c r="G213" s="22"/>
      <c r="H213" s="10"/>
      <c r="I213" s="188"/>
      <c r="J213" s="184"/>
      <c r="K213" s="184"/>
      <c r="L213" s="184"/>
    </row>
    <row r="214" spans="1:12" x14ac:dyDescent="0.2">
      <c r="A214" s="10">
        <v>21545</v>
      </c>
      <c r="B214" s="11">
        <v>42702</v>
      </c>
      <c r="C214" s="12">
        <v>7.5200000000000005</v>
      </c>
      <c r="D214" s="12">
        <v>0.56999999999999995</v>
      </c>
      <c r="E214" s="17"/>
      <c r="I214" s="188"/>
      <c r="J214" s="184"/>
      <c r="K214" s="184"/>
      <c r="L214" s="184"/>
    </row>
    <row r="215" spans="1:12" x14ac:dyDescent="0.2">
      <c r="A215" s="10">
        <v>21546</v>
      </c>
      <c r="B215" s="11">
        <v>42702</v>
      </c>
      <c r="C215" s="12">
        <v>11</v>
      </c>
      <c r="D215" s="12">
        <v>0.84</v>
      </c>
      <c r="E215" s="17"/>
      <c r="I215" s="188"/>
      <c r="J215" s="184"/>
      <c r="K215" s="184"/>
      <c r="L215" s="184"/>
    </row>
    <row r="216" spans="1:12" x14ac:dyDescent="0.2">
      <c r="A216" s="10">
        <v>21547</v>
      </c>
      <c r="B216" s="11">
        <v>42702</v>
      </c>
      <c r="C216" s="12">
        <v>121</v>
      </c>
      <c r="D216" s="12">
        <v>9.2200000000000006</v>
      </c>
      <c r="E216" s="17"/>
      <c r="F216" s="18"/>
      <c r="G216" s="19"/>
      <c r="H216" s="12"/>
      <c r="I216" s="188"/>
      <c r="J216" s="184"/>
      <c r="K216" s="184"/>
      <c r="L216" s="184"/>
    </row>
    <row r="217" spans="1:12" x14ac:dyDescent="0.2">
      <c r="A217" s="10">
        <v>21548</v>
      </c>
      <c r="B217" s="11">
        <v>42702</v>
      </c>
      <c r="C217" s="12">
        <v>101.83</v>
      </c>
      <c r="D217" s="12"/>
      <c r="E217" s="15" t="s">
        <v>82</v>
      </c>
      <c r="I217" s="188"/>
      <c r="J217" s="184"/>
      <c r="K217" s="184"/>
      <c r="L217" s="184"/>
    </row>
    <row r="218" spans="1:12" x14ac:dyDescent="0.2">
      <c r="A218" s="10">
        <v>21549</v>
      </c>
      <c r="B218" s="11">
        <v>42702</v>
      </c>
      <c r="C218" s="12">
        <v>64.95</v>
      </c>
      <c r="D218" s="12">
        <v>4.95</v>
      </c>
      <c r="E218" s="15" t="s">
        <v>21</v>
      </c>
      <c r="F218" s="20">
        <v>100</v>
      </c>
      <c r="G218" s="20">
        <v>86.75</v>
      </c>
      <c r="H218" s="114"/>
      <c r="I218" s="188"/>
      <c r="J218" s="184"/>
      <c r="K218" s="184"/>
      <c r="L218" s="184"/>
    </row>
    <row r="219" spans="1:12" x14ac:dyDescent="0.2">
      <c r="A219" s="10">
        <v>21550</v>
      </c>
      <c r="B219" s="11">
        <v>42703</v>
      </c>
      <c r="C219" s="12">
        <v>56</v>
      </c>
      <c r="D219" s="12">
        <v>4.2699999999999996</v>
      </c>
      <c r="E219" s="17"/>
      <c r="I219" s="188"/>
      <c r="J219" s="184"/>
      <c r="K219" s="184"/>
      <c r="L219" s="184"/>
    </row>
    <row r="220" spans="1:12" x14ac:dyDescent="0.2">
      <c r="A220" s="10">
        <v>21551</v>
      </c>
      <c r="B220" s="11">
        <v>42703</v>
      </c>
      <c r="C220" s="12">
        <v>230</v>
      </c>
      <c r="D220" s="12">
        <v>17.53</v>
      </c>
      <c r="E220" s="17"/>
      <c r="F220" s="18"/>
      <c r="G220" s="19"/>
      <c r="H220" s="12"/>
      <c r="I220" s="188"/>
      <c r="J220" s="184"/>
      <c r="K220" s="184"/>
      <c r="L220" s="184"/>
    </row>
    <row r="221" spans="1:12" x14ac:dyDescent="0.2">
      <c r="A221" s="10">
        <v>21552</v>
      </c>
      <c r="B221" s="11">
        <v>42703</v>
      </c>
      <c r="C221" s="12">
        <v>173.14999999999998</v>
      </c>
      <c r="D221" s="12">
        <v>13.2</v>
      </c>
      <c r="E221" s="15" t="s">
        <v>11</v>
      </c>
      <c r="F221" s="21"/>
      <c r="G221" s="22"/>
      <c r="H221" s="10"/>
      <c r="I221" s="188"/>
      <c r="J221" s="184"/>
      <c r="K221" s="184"/>
      <c r="L221" s="184"/>
    </row>
    <row r="222" spans="1:12" x14ac:dyDescent="0.2">
      <c r="A222" s="10">
        <v>21553</v>
      </c>
      <c r="B222" s="11">
        <v>42703</v>
      </c>
      <c r="C222" s="12">
        <v>216.5</v>
      </c>
      <c r="D222" s="12">
        <v>16.5</v>
      </c>
      <c r="E222" s="15" t="s">
        <v>11</v>
      </c>
      <c r="F222" s="21"/>
      <c r="G222" s="22"/>
      <c r="H222" s="10"/>
      <c r="I222" s="188"/>
      <c r="J222" s="184"/>
      <c r="K222" s="184"/>
      <c r="L222" s="184"/>
    </row>
    <row r="223" spans="1:12" x14ac:dyDescent="0.2">
      <c r="A223" s="10">
        <v>21554</v>
      </c>
      <c r="B223" s="11">
        <v>42703</v>
      </c>
      <c r="C223" s="12">
        <v>532.59</v>
      </c>
      <c r="D223" s="12">
        <v>40.590000000000003</v>
      </c>
      <c r="E223" s="15" t="s">
        <v>533</v>
      </c>
      <c r="I223" s="188"/>
      <c r="J223" s="184"/>
      <c r="K223" s="184"/>
      <c r="L223" s="184"/>
    </row>
    <row r="224" spans="1:12" x14ac:dyDescent="0.2">
      <c r="A224" s="10">
        <v>21555</v>
      </c>
      <c r="B224" s="11">
        <v>42703</v>
      </c>
      <c r="C224" s="12">
        <v>84.25</v>
      </c>
      <c r="D224" s="12">
        <v>6.42</v>
      </c>
      <c r="E224" s="17"/>
      <c r="F224" s="18"/>
      <c r="G224" s="19"/>
      <c r="H224" s="12"/>
      <c r="I224" s="188"/>
      <c r="J224" s="184"/>
      <c r="K224" s="184"/>
      <c r="L224" s="184"/>
    </row>
    <row r="225" spans="1:12" x14ac:dyDescent="0.2">
      <c r="A225" s="10">
        <v>21556</v>
      </c>
      <c r="B225" s="11">
        <v>42703</v>
      </c>
      <c r="C225" s="12">
        <v>477.38</v>
      </c>
      <c r="D225" s="12">
        <v>36.380000000000003</v>
      </c>
      <c r="E225" s="15" t="s">
        <v>533</v>
      </c>
      <c r="F225" s="21"/>
      <c r="G225" s="22"/>
      <c r="H225" s="10"/>
      <c r="I225" s="188"/>
      <c r="J225" s="184"/>
      <c r="K225" s="184"/>
      <c r="L225" s="184"/>
    </row>
    <row r="226" spans="1:12" x14ac:dyDescent="0.2">
      <c r="A226" s="10">
        <v>21557</v>
      </c>
      <c r="B226" s="11">
        <v>42703</v>
      </c>
      <c r="C226" s="12">
        <v>9</v>
      </c>
      <c r="D226" s="12"/>
      <c r="E226" s="13" t="s">
        <v>19</v>
      </c>
      <c r="I226" s="188"/>
      <c r="J226" s="184"/>
      <c r="K226" s="184"/>
      <c r="L226" s="184"/>
    </row>
    <row r="227" spans="1:12" x14ac:dyDescent="0.2">
      <c r="A227" s="10">
        <v>21558</v>
      </c>
      <c r="B227" s="11">
        <v>42703</v>
      </c>
      <c r="C227" s="12">
        <v>12.61</v>
      </c>
      <c r="D227" s="12">
        <v>0.96</v>
      </c>
      <c r="E227" s="17"/>
      <c r="F227" s="18"/>
      <c r="G227" s="19"/>
      <c r="H227" s="12"/>
      <c r="I227" s="188"/>
      <c r="J227" s="184"/>
      <c r="K227" s="184"/>
      <c r="L227" s="184"/>
    </row>
    <row r="228" spans="1:12" x14ac:dyDescent="0.2">
      <c r="A228" s="10">
        <v>21559</v>
      </c>
      <c r="B228" s="11">
        <v>42703</v>
      </c>
      <c r="C228" s="12">
        <v>64</v>
      </c>
      <c r="D228" s="12"/>
      <c r="E228" s="15" t="s">
        <v>82</v>
      </c>
      <c r="I228" s="188"/>
      <c r="J228" s="184"/>
      <c r="K228" s="184"/>
      <c r="L228" s="184"/>
    </row>
    <row r="229" spans="1:12" x14ac:dyDescent="0.2">
      <c r="A229" s="10">
        <v>21560</v>
      </c>
      <c r="B229" s="11">
        <v>42703</v>
      </c>
      <c r="C229" s="12">
        <v>66</v>
      </c>
      <c r="D229" s="12"/>
      <c r="E229" s="15" t="s">
        <v>563</v>
      </c>
      <c r="F229" s="21"/>
      <c r="G229" s="22"/>
      <c r="H229" s="10"/>
      <c r="I229" s="188"/>
      <c r="J229" s="184"/>
      <c r="K229" s="184"/>
      <c r="L229" s="184"/>
    </row>
    <row r="230" spans="1:12" x14ac:dyDescent="0.2">
      <c r="A230" s="10">
        <v>21561</v>
      </c>
      <c r="B230" s="11">
        <v>42703</v>
      </c>
      <c r="C230" s="12">
        <v>50</v>
      </c>
      <c r="D230" s="12"/>
      <c r="E230" s="15" t="s">
        <v>563</v>
      </c>
      <c r="F230" s="21"/>
      <c r="G230" s="22"/>
      <c r="H230" s="10"/>
      <c r="I230" s="188"/>
      <c r="J230" s="184"/>
      <c r="K230" s="184"/>
      <c r="L230" s="184"/>
    </row>
    <row r="231" spans="1:12" x14ac:dyDescent="0.2">
      <c r="A231" s="10">
        <v>21562</v>
      </c>
      <c r="B231" s="11">
        <v>42703</v>
      </c>
      <c r="C231" s="12">
        <v>45.47</v>
      </c>
      <c r="D231" s="12">
        <v>3.47</v>
      </c>
      <c r="E231" s="15" t="s">
        <v>786</v>
      </c>
      <c r="F231" s="20">
        <v>632.59</v>
      </c>
      <c r="G231" s="20">
        <v>548.77</v>
      </c>
      <c r="H231" s="114"/>
      <c r="I231" s="188"/>
      <c r="J231" s="184"/>
      <c r="K231" s="184"/>
      <c r="L231" s="184"/>
    </row>
    <row r="232" spans="1:12" x14ac:dyDescent="0.2">
      <c r="A232" s="10">
        <v>21563</v>
      </c>
      <c r="B232" s="11">
        <v>42704</v>
      </c>
      <c r="C232" s="12">
        <v>12.99</v>
      </c>
      <c r="D232" s="12">
        <v>0.99</v>
      </c>
      <c r="E232" s="15" t="s">
        <v>7</v>
      </c>
      <c r="H232" s="10"/>
      <c r="I232" s="188"/>
      <c r="J232" s="184"/>
      <c r="K232" s="184"/>
      <c r="L232" s="184"/>
    </row>
    <row r="233" spans="1:12" x14ac:dyDescent="0.2">
      <c r="A233" s="10">
        <v>21564</v>
      </c>
      <c r="B233" s="11">
        <v>42704</v>
      </c>
      <c r="C233" s="12">
        <v>157.60000000000002</v>
      </c>
      <c r="D233" s="12"/>
      <c r="E233" s="15" t="s">
        <v>82</v>
      </c>
      <c r="H233" s="10"/>
      <c r="I233" s="188"/>
      <c r="J233" s="184"/>
      <c r="K233" s="184"/>
      <c r="L233" s="184"/>
    </row>
    <row r="234" spans="1:12" x14ac:dyDescent="0.2">
      <c r="A234" s="10">
        <v>21565</v>
      </c>
      <c r="B234" s="11">
        <v>42704</v>
      </c>
      <c r="C234" s="12">
        <v>11.91</v>
      </c>
      <c r="D234" s="12">
        <v>0.91</v>
      </c>
      <c r="E234" s="17"/>
      <c r="F234" s="12"/>
      <c r="G234" s="185"/>
      <c r="H234" s="191"/>
      <c r="I234" s="184"/>
      <c r="J234" s="184"/>
      <c r="K234" s="198"/>
      <c r="L234" s="184"/>
    </row>
    <row r="235" spans="1:12" x14ac:dyDescent="0.2">
      <c r="A235" s="10">
        <v>21566</v>
      </c>
      <c r="B235" s="11">
        <v>42704</v>
      </c>
      <c r="C235" s="12">
        <v>198.91</v>
      </c>
      <c r="D235" s="12">
        <v>15.16</v>
      </c>
      <c r="E235" s="15" t="s">
        <v>533</v>
      </c>
      <c r="F235" s="10"/>
      <c r="G235" s="183"/>
      <c r="H235" s="188"/>
      <c r="I235" s="188"/>
      <c r="J235" s="184"/>
      <c r="K235" s="198"/>
      <c r="L235" s="184"/>
    </row>
    <row r="236" spans="1:12" x14ac:dyDescent="0.2">
      <c r="A236" s="10">
        <v>21567</v>
      </c>
      <c r="B236" s="11">
        <v>42704</v>
      </c>
      <c r="C236" s="12">
        <v>335.58</v>
      </c>
      <c r="D236" s="12">
        <v>25.58</v>
      </c>
      <c r="E236" s="15" t="s">
        <v>21</v>
      </c>
      <c r="F236" s="10"/>
      <c r="G236" s="183"/>
      <c r="H236" s="188"/>
      <c r="I236" s="188"/>
      <c r="J236" s="184"/>
      <c r="K236" s="198"/>
      <c r="L236" s="184"/>
    </row>
    <row r="237" spans="1:12" x14ac:dyDescent="0.2">
      <c r="A237" s="10">
        <v>21568</v>
      </c>
      <c r="B237" s="11">
        <v>42704</v>
      </c>
      <c r="C237" s="12">
        <v>16.18</v>
      </c>
      <c r="D237" s="12">
        <v>1.23</v>
      </c>
      <c r="E237" s="17"/>
    </row>
    <row r="238" spans="1:12" x14ac:dyDescent="0.2">
      <c r="A238" s="10">
        <v>21569</v>
      </c>
      <c r="B238" s="11">
        <v>42704</v>
      </c>
      <c r="C238" s="12">
        <v>4.33</v>
      </c>
      <c r="D238" s="12">
        <v>0.33</v>
      </c>
      <c r="E238" s="17"/>
      <c r="H238" s="12"/>
    </row>
    <row r="239" spans="1:12" x14ac:dyDescent="0.2">
      <c r="A239" s="10">
        <v>21570</v>
      </c>
      <c r="B239" s="11">
        <v>42704</v>
      </c>
      <c r="C239" s="12">
        <v>14.61</v>
      </c>
      <c r="D239" s="12">
        <v>1.1100000000000001</v>
      </c>
      <c r="E239" s="15" t="s">
        <v>533</v>
      </c>
      <c r="F239" s="20">
        <f>+C232+389.65+350.19</f>
        <v>752.82999999999993</v>
      </c>
      <c r="G239" s="20">
        <f>400.25+303.79</f>
        <v>704.04</v>
      </c>
      <c r="H239" s="114"/>
      <c r="I239" s="10"/>
    </row>
    <row r="240" spans="1:12" x14ac:dyDescent="0.2">
      <c r="E240" s="26"/>
      <c r="G240" s="77"/>
      <c r="H240" s="191"/>
      <c r="I240" s="188"/>
      <c r="J240" s="184"/>
      <c r="K240" s="198"/>
      <c r="L240" s="184"/>
    </row>
    <row r="241" spans="5:12" x14ac:dyDescent="0.2">
      <c r="E241" s="26"/>
      <c r="G241" s="77"/>
      <c r="H241" s="191"/>
      <c r="I241" s="197">
        <f ca="1">H1-WEEKDAY(H1,3)-7</f>
        <v>43171</v>
      </c>
      <c r="J241" s="198" t="e">
        <f t="shared" ref="J241:J254" ca="1" si="0">SUMIF(INDIRECT(TEXT(I241,"'mmm-yy'")&amp;"!B3:B400"),I241,INDIRECT(TEXT(I241,"'mmm-yy'")&amp;"!C3:C400"))</f>
        <v>#REF!</v>
      </c>
      <c r="K241" s="198"/>
      <c r="L241" s="184"/>
    </row>
    <row r="242" spans="5:12" x14ac:dyDescent="0.2">
      <c r="E242" s="26"/>
      <c r="G242" s="77"/>
      <c r="H242" s="191"/>
      <c r="I242" s="197">
        <f ca="1">I241+1</f>
        <v>43172</v>
      </c>
      <c r="J242" s="198" t="e">
        <f t="shared" ca="1" si="0"/>
        <v>#REF!</v>
      </c>
      <c r="K242" s="198"/>
      <c r="L242" s="184"/>
    </row>
    <row r="243" spans="5:12" x14ac:dyDescent="0.2">
      <c r="E243" s="26"/>
      <c r="G243" s="77"/>
      <c r="H243" s="188"/>
      <c r="I243" s="197">
        <f t="shared" ref="I243:I254" ca="1" si="1">I242+1</f>
        <v>43173</v>
      </c>
      <c r="J243" s="198" t="e">
        <f t="shared" ca="1" si="0"/>
        <v>#REF!</v>
      </c>
      <c r="K243" s="198"/>
      <c r="L243" s="184"/>
    </row>
    <row r="244" spans="5:12" x14ac:dyDescent="0.2">
      <c r="E244" s="26"/>
      <c r="G244" s="77"/>
      <c r="H244" s="188"/>
      <c r="I244" s="197">
        <f t="shared" ca="1" si="1"/>
        <v>43174</v>
      </c>
      <c r="J244" s="198" t="e">
        <f t="shared" ca="1" si="0"/>
        <v>#REF!</v>
      </c>
      <c r="K244" s="198" t="e">
        <f ca="1">SUM(J160:J247)</f>
        <v>#REF!</v>
      </c>
      <c r="L244" s="184"/>
    </row>
    <row r="245" spans="5:12" x14ac:dyDescent="0.2">
      <c r="E245" s="26"/>
      <c r="G245" s="77"/>
      <c r="H245" s="191"/>
      <c r="I245" s="197">
        <f t="shared" ca="1" si="1"/>
        <v>43175</v>
      </c>
      <c r="J245" s="198" t="e">
        <f t="shared" ca="1" si="0"/>
        <v>#REF!</v>
      </c>
      <c r="K245" s="184"/>
      <c r="L245" s="184"/>
    </row>
    <row r="246" spans="5:12" x14ac:dyDescent="0.2">
      <c r="E246" s="26"/>
      <c r="G246" s="77"/>
      <c r="H246" s="191"/>
      <c r="I246" s="197">
        <f t="shared" ca="1" si="1"/>
        <v>43176</v>
      </c>
      <c r="J246" s="198" t="e">
        <f t="shared" ca="1" si="0"/>
        <v>#REF!</v>
      </c>
      <c r="K246" s="184"/>
      <c r="L246" s="184"/>
    </row>
    <row r="247" spans="5:12" x14ac:dyDescent="0.2">
      <c r="E247" s="26"/>
      <c r="G247" s="77"/>
      <c r="H247" s="188"/>
      <c r="I247" s="197">
        <f t="shared" ca="1" si="1"/>
        <v>43177</v>
      </c>
      <c r="J247" s="198" t="e">
        <f t="shared" ca="1" si="0"/>
        <v>#REF!</v>
      </c>
      <c r="K247" s="184"/>
      <c r="L247" s="184"/>
    </row>
    <row r="248" spans="5:12" x14ac:dyDescent="0.2">
      <c r="E248" s="26"/>
      <c r="G248" s="77"/>
      <c r="H248" s="191"/>
      <c r="I248" s="197">
        <f t="shared" ca="1" si="1"/>
        <v>43178</v>
      </c>
      <c r="J248" s="198" t="e">
        <f t="shared" ca="1" si="0"/>
        <v>#REF!</v>
      </c>
      <c r="K248" s="184"/>
      <c r="L248" s="184"/>
    </row>
    <row r="249" spans="5:12" x14ac:dyDescent="0.2">
      <c r="E249" s="26"/>
      <c r="G249" s="77"/>
      <c r="H249" s="191"/>
      <c r="I249" s="197">
        <f t="shared" ca="1" si="1"/>
        <v>43179</v>
      </c>
      <c r="J249" s="198" t="e">
        <f t="shared" ca="1" si="0"/>
        <v>#REF!</v>
      </c>
      <c r="K249" s="184"/>
      <c r="L249" s="184"/>
    </row>
    <row r="250" spans="5:12" x14ac:dyDescent="0.2">
      <c r="E250" s="26"/>
      <c r="G250" s="77"/>
      <c r="H250" s="191"/>
      <c r="I250" s="197">
        <f t="shared" ca="1" si="1"/>
        <v>43180</v>
      </c>
      <c r="J250" s="198" t="e">
        <f t="shared" ca="1" si="0"/>
        <v>#REF!</v>
      </c>
      <c r="K250" s="184"/>
      <c r="L250" s="184"/>
    </row>
    <row r="251" spans="5:12" x14ac:dyDescent="0.2">
      <c r="E251" s="26"/>
      <c r="G251" s="77"/>
      <c r="H251" s="191"/>
      <c r="I251" s="197">
        <f t="shared" ca="1" si="1"/>
        <v>43181</v>
      </c>
      <c r="J251" s="198" t="e">
        <f t="shared" ca="1" si="0"/>
        <v>#REF!</v>
      </c>
      <c r="K251" s="198" t="e">
        <f ca="1">SUM(J248:J254)</f>
        <v>#REF!</v>
      </c>
      <c r="L251" s="184"/>
    </row>
    <row r="252" spans="5:12" x14ac:dyDescent="0.2">
      <c r="E252" s="26"/>
      <c r="G252" s="77"/>
      <c r="H252" s="191"/>
      <c r="I252" s="197">
        <f t="shared" ca="1" si="1"/>
        <v>43182</v>
      </c>
      <c r="J252" s="198" t="e">
        <f t="shared" ca="1" si="0"/>
        <v>#REF!</v>
      </c>
      <c r="K252" s="184"/>
      <c r="L252" s="184"/>
    </row>
    <row r="253" spans="5:12" x14ac:dyDescent="0.2">
      <c r="E253" s="26"/>
      <c r="G253" s="77"/>
      <c r="H253" s="191"/>
      <c r="I253" s="197">
        <f t="shared" ca="1" si="1"/>
        <v>43183</v>
      </c>
      <c r="J253" s="198" t="e">
        <f t="shared" ca="1" si="0"/>
        <v>#REF!</v>
      </c>
      <c r="K253" s="184"/>
      <c r="L253" s="184"/>
    </row>
    <row r="254" spans="5:12" x14ac:dyDescent="0.2">
      <c r="E254" s="26"/>
      <c r="G254" s="77"/>
      <c r="H254" s="199"/>
      <c r="I254" s="197">
        <f t="shared" ca="1" si="1"/>
        <v>43184</v>
      </c>
      <c r="J254" s="198" t="e">
        <f t="shared" ca="1" si="0"/>
        <v>#REF!</v>
      </c>
      <c r="K254" s="184"/>
      <c r="L254" s="184"/>
    </row>
    <row r="255" spans="5:12" x14ac:dyDescent="0.2">
      <c r="E255" s="26"/>
      <c r="G255" s="77"/>
      <c r="H255" s="199"/>
      <c r="I255" s="184"/>
      <c r="J255" s="184"/>
      <c r="K255" s="184"/>
      <c r="L255" s="184"/>
    </row>
    <row r="256" spans="5:12" x14ac:dyDescent="0.2">
      <c r="E256" s="26"/>
      <c r="G256" s="77"/>
      <c r="H256" s="199"/>
      <c r="I256" s="184"/>
      <c r="J256" s="184"/>
      <c r="K256" s="184"/>
      <c r="L256" s="184"/>
    </row>
    <row r="257" spans="1:12" x14ac:dyDescent="0.2">
      <c r="E257" s="26"/>
      <c r="G257" s="77"/>
      <c r="H257" s="199"/>
      <c r="I257" s="184"/>
      <c r="J257" s="184"/>
      <c r="K257" s="184"/>
      <c r="L257" s="184"/>
    </row>
    <row r="258" spans="1:12" x14ac:dyDescent="0.2">
      <c r="E258" s="26"/>
      <c r="H258" s="199"/>
      <c r="I258" s="184"/>
      <c r="J258" s="184"/>
      <c r="K258" s="184"/>
      <c r="L258" s="184"/>
    </row>
    <row r="259" spans="1:12" x14ac:dyDescent="0.2">
      <c r="E259" s="26"/>
      <c r="H259" s="199"/>
      <c r="I259" s="184"/>
      <c r="J259" s="184"/>
      <c r="K259" s="184"/>
      <c r="L259" s="184"/>
    </row>
    <row r="260" spans="1:12" s="29" customFormat="1" x14ac:dyDescent="0.2">
      <c r="A260" s="4"/>
      <c r="B260" s="11"/>
      <c r="C260" s="25"/>
      <c r="D260" s="4"/>
      <c r="E260" s="26"/>
      <c r="F260" s="4"/>
      <c r="G260" s="4"/>
      <c r="H260" s="199"/>
      <c r="I260" s="184"/>
      <c r="J260" s="184"/>
    </row>
    <row r="261" spans="1:12" s="29" customFormat="1" x14ac:dyDescent="0.2">
      <c r="A261" s="4"/>
      <c r="B261" s="11"/>
      <c r="C261" s="25"/>
      <c r="D261" s="4"/>
      <c r="E261" s="26"/>
      <c r="F261" s="4"/>
      <c r="G261" s="4"/>
      <c r="H261" s="199"/>
      <c r="I261" s="184"/>
      <c r="J261" s="184"/>
    </row>
    <row r="262" spans="1:12" x14ac:dyDescent="0.2">
      <c r="E262" s="26"/>
      <c r="H262" s="199"/>
      <c r="I262" s="184"/>
      <c r="J262" s="184"/>
    </row>
    <row r="263" spans="1:12" x14ac:dyDescent="0.2">
      <c r="E263" s="26"/>
    </row>
    <row r="264" spans="1:12" x14ac:dyDescent="0.2">
      <c r="E264" s="26"/>
    </row>
    <row r="265" spans="1:12" x14ac:dyDescent="0.2">
      <c r="E265" s="26"/>
    </row>
    <row r="266" spans="1:12" x14ac:dyDescent="0.2">
      <c r="E266" s="26"/>
    </row>
    <row r="267" spans="1:12" x14ac:dyDescent="0.2">
      <c r="E267" s="26"/>
    </row>
    <row r="268" spans="1:12" x14ac:dyDescent="0.2">
      <c r="E268" s="26"/>
    </row>
    <row r="269" spans="1:12" x14ac:dyDescent="0.2">
      <c r="E269" s="26"/>
    </row>
    <row r="270" spans="1:12" x14ac:dyDescent="0.2">
      <c r="E270" s="26"/>
    </row>
    <row r="271" spans="1:12" x14ac:dyDescent="0.2">
      <c r="E271" s="26"/>
    </row>
    <row r="272" spans="1:12" x14ac:dyDescent="0.2">
      <c r="E272" s="26"/>
    </row>
    <row r="273" spans="1:10" x14ac:dyDescent="0.2">
      <c r="E273" s="26"/>
    </row>
    <row r="274" spans="1:10" x14ac:dyDescent="0.2">
      <c r="E274" s="26"/>
    </row>
    <row r="275" spans="1:10" x14ac:dyDescent="0.2">
      <c r="A275" s="29"/>
      <c r="B275" s="30"/>
      <c r="C275" s="31"/>
      <c r="D275" s="29"/>
      <c r="E275" s="32"/>
      <c r="F275" s="29"/>
      <c r="G275" s="29"/>
      <c r="H275" s="31"/>
      <c r="I275" s="29"/>
      <c r="J275" s="29"/>
    </row>
    <row r="276" spans="1:10" x14ac:dyDescent="0.2">
      <c r="A276" s="29"/>
      <c r="B276" s="30"/>
      <c r="C276" s="31"/>
      <c r="D276" s="29"/>
      <c r="E276" s="32"/>
      <c r="F276" s="29"/>
      <c r="G276" s="29"/>
      <c r="H276" s="31"/>
      <c r="I276" s="29"/>
      <c r="J276" s="29"/>
    </row>
    <row r="277" spans="1:10" x14ac:dyDescent="0.2">
      <c r="E277" s="26"/>
    </row>
    <row r="278" spans="1:10" x14ac:dyDescent="0.2">
      <c r="E278" s="26"/>
    </row>
    <row r="279" spans="1:10" x14ac:dyDescent="0.2">
      <c r="E279" s="26"/>
    </row>
    <row r="280" spans="1:10" x14ac:dyDescent="0.2">
      <c r="E280" s="26"/>
    </row>
    <row r="281" spans="1:10" x14ac:dyDescent="0.2">
      <c r="E281" s="26"/>
    </row>
    <row r="282" spans="1:10" x14ac:dyDescent="0.2">
      <c r="E282" s="26"/>
    </row>
    <row r="283" spans="1:10" x14ac:dyDescent="0.2">
      <c r="E283" s="26"/>
    </row>
    <row r="284" spans="1:10" x14ac:dyDescent="0.2">
      <c r="E284" s="26"/>
    </row>
    <row r="285" spans="1:10" x14ac:dyDescent="0.2">
      <c r="E285" s="26"/>
    </row>
    <row r="286" spans="1:10" x14ac:dyDescent="0.2">
      <c r="E286" s="26"/>
    </row>
    <row r="287" spans="1:10" x14ac:dyDescent="0.2">
      <c r="E287" s="26"/>
    </row>
    <row r="288" spans="1:10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3239"/>
  <sheetViews>
    <sheetView topLeftCell="A174" workbookViewId="0">
      <selection activeCell="A222" sqref="A222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28515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SUM(C3:C421)</f>
        <v>26273.154774999981</v>
      </c>
      <c r="D1" s="3">
        <f>SUM(D3:D421)</f>
        <v>1782.8947750000007</v>
      </c>
      <c r="F1" s="166">
        <f>SUM(F3:F4055)</f>
        <v>10180.687150000002</v>
      </c>
      <c r="G1" s="166">
        <f>SUM(G3:G4055)</f>
        <v>9578.5670591164981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s="8" customFormat="1" x14ac:dyDescent="0.2">
      <c r="A3" s="10">
        <v>21571</v>
      </c>
      <c r="B3" s="11">
        <v>42705</v>
      </c>
      <c r="C3" s="12">
        <v>25.8</v>
      </c>
      <c r="D3" s="12"/>
      <c r="E3" s="15" t="s">
        <v>17</v>
      </c>
      <c r="F3" s="16"/>
      <c r="G3" s="16"/>
      <c r="H3" s="16"/>
      <c r="I3" s="16"/>
    </row>
    <row r="4" spans="1:10" s="8" customFormat="1" x14ac:dyDescent="0.2">
      <c r="A4" s="10">
        <v>21572</v>
      </c>
      <c r="B4" s="11">
        <v>42705</v>
      </c>
      <c r="C4" s="12">
        <v>7.58</v>
      </c>
      <c r="D4" s="12">
        <v>0.57999999999999996</v>
      </c>
      <c r="E4" s="17"/>
      <c r="F4" s="14"/>
      <c r="G4" s="14"/>
      <c r="H4" s="14"/>
      <c r="I4" s="16"/>
    </row>
    <row r="5" spans="1:10" s="8" customFormat="1" x14ac:dyDescent="0.2">
      <c r="A5" s="10">
        <v>21573</v>
      </c>
      <c r="B5" s="11">
        <v>42705</v>
      </c>
      <c r="C5" s="12">
        <v>168</v>
      </c>
      <c r="D5" s="12">
        <v>12.8</v>
      </c>
      <c r="E5" s="17"/>
      <c r="H5" s="14"/>
      <c r="I5" s="16"/>
    </row>
    <row r="6" spans="1:10" s="8" customFormat="1" x14ac:dyDescent="0.2">
      <c r="A6" s="10">
        <v>21574</v>
      </c>
      <c r="B6" s="11">
        <v>42705</v>
      </c>
      <c r="C6" s="12">
        <v>178.32</v>
      </c>
      <c r="D6" s="12"/>
      <c r="E6" s="15" t="s">
        <v>82</v>
      </c>
      <c r="H6" s="16"/>
      <c r="I6" s="16"/>
    </row>
    <row r="7" spans="1:10" s="8" customFormat="1" x14ac:dyDescent="0.2">
      <c r="A7" s="10">
        <v>21575</v>
      </c>
      <c r="B7" s="11">
        <v>42705</v>
      </c>
      <c r="C7" s="12">
        <v>20</v>
      </c>
      <c r="D7" s="12">
        <v>1.52</v>
      </c>
      <c r="E7" s="17"/>
      <c r="F7" s="18"/>
      <c r="G7" s="19"/>
      <c r="H7" s="14"/>
      <c r="I7" s="16"/>
    </row>
    <row r="8" spans="1:10" s="8" customFormat="1" x14ac:dyDescent="0.2">
      <c r="A8" s="10">
        <v>21576</v>
      </c>
      <c r="B8" s="11">
        <v>42705</v>
      </c>
      <c r="C8" s="12">
        <v>12</v>
      </c>
      <c r="D8" s="12">
        <v>0.91</v>
      </c>
      <c r="E8" s="15"/>
      <c r="H8" s="16"/>
      <c r="I8" s="16"/>
    </row>
    <row r="9" spans="1:10" s="8" customFormat="1" x14ac:dyDescent="0.2">
      <c r="A9" s="10">
        <v>21577</v>
      </c>
      <c r="B9" s="11">
        <v>42705</v>
      </c>
      <c r="C9" s="12">
        <v>48.2</v>
      </c>
      <c r="D9" s="12"/>
      <c r="E9" s="15" t="s">
        <v>82</v>
      </c>
      <c r="H9" s="16"/>
      <c r="I9" s="16"/>
    </row>
    <row r="10" spans="1:10" s="8" customFormat="1" x14ac:dyDescent="0.2">
      <c r="A10" s="10">
        <v>21578</v>
      </c>
      <c r="B10" s="11">
        <v>42705</v>
      </c>
      <c r="C10" s="12">
        <v>55</v>
      </c>
      <c r="D10" s="12">
        <v>4.2</v>
      </c>
      <c r="E10" s="15" t="s">
        <v>533</v>
      </c>
      <c r="F10" s="18"/>
      <c r="G10" s="22"/>
      <c r="H10" s="16"/>
      <c r="I10" s="16"/>
    </row>
    <row r="11" spans="1:10" s="8" customFormat="1" x14ac:dyDescent="0.2">
      <c r="A11" s="10">
        <v>21579</v>
      </c>
      <c r="B11" s="11">
        <v>42705</v>
      </c>
      <c r="C11" s="12">
        <v>37.89</v>
      </c>
      <c r="D11" s="12">
        <v>2.89</v>
      </c>
      <c r="E11" s="13"/>
      <c r="F11" s="18"/>
      <c r="G11" s="19"/>
      <c r="H11" s="14"/>
      <c r="I11" s="16"/>
    </row>
    <row r="12" spans="1:10" s="8" customFormat="1" x14ac:dyDescent="0.2">
      <c r="A12" s="10">
        <v>21580</v>
      </c>
      <c r="B12" s="11">
        <v>42705</v>
      </c>
      <c r="C12" s="12">
        <v>63.87</v>
      </c>
      <c r="D12" s="12">
        <v>4.87</v>
      </c>
      <c r="E12" s="15" t="s">
        <v>533</v>
      </c>
      <c r="F12" s="21"/>
      <c r="G12" s="22"/>
      <c r="H12" s="16"/>
      <c r="I12" s="16"/>
    </row>
    <row r="13" spans="1:10" s="8" customFormat="1" x14ac:dyDescent="0.2">
      <c r="A13" s="10">
        <v>21581</v>
      </c>
      <c r="B13" s="11">
        <v>42705</v>
      </c>
      <c r="C13" s="12">
        <v>35.86</v>
      </c>
      <c r="D13" s="12"/>
      <c r="E13" s="15" t="s">
        <v>11</v>
      </c>
      <c r="F13" s="20">
        <f>+C3+C13+27.99+795.16</f>
        <v>884.81</v>
      </c>
      <c r="G13" s="20">
        <f>88.19+689.79</f>
        <v>777.98</v>
      </c>
      <c r="H13" s="114"/>
      <c r="I13" s="16"/>
    </row>
    <row r="14" spans="1:10" s="8" customFormat="1" x14ac:dyDescent="0.2">
      <c r="A14" s="10">
        <v>21582</v>
      </c>
      <c r="B14" s="11">
        <v>42706</v>
      </c>
      <c r="C14" s="12">
        <v>68.2</v>
      </c>
      <c r="D14" s="12">
        <v>5.2</v>
      </c>
      <c r="E14" s="15" t="s">
        <v>533</v>
      </c>
      <c r="I14" s="16"/>
    </row>
    <row r="15" spans="1:10" s="8" customFormat="1" x14ac:dyDescent="0.2">
      <c r="A15" s="10">
        <v>21583</v>
      </c>
      <c r="B15" s="11">
        <v>42706</v>
      </c>
      <c r="C15" s="12">
        <v>261.3</v>
      </c>
      <c r="D15" s="12"/>
      <c r="E15" s="15" t="s">
        <v>846</v>
      </c>
      <c r="I15" s="16"/>
    </row>
    <row r="16" spans="1:10" s="8" customFormat="1" x14ac:dyDescent="0.2">
      <c r="A16" s="10">
        <v>21584</v>
      </c>
      <c r="B16" s="11">
        <v>42706</v>
      </c>
      <c r="C16" s="12">
        <v>25</v>
      </c>
      <c r="D16" s="12">
        <v>1.9</v>
      </c>
      <c r="E16" s="15" t="s">
        <v>7</v>
      </c>
      <c r="F16" s="21"/>
      <c r="G16" s="22"/>
      <c r="H16" s="10"/>
      <c r="I16" s="16"/>
    </row>
    <row r="17" spans="1:9" s="8" customFormat="1" x14ac:dyDescent="0.2">
      <c r="A17" s="10">
        <v>21585</v>
      </c>
      <c r="B17" s="11">
        <v>42706</v>
      </c>
      <c r="C17" s="12">
        <v>351.76</v>
      </c>
      <c r="D17" s="12">
        <v>26.81</v>
      </c>
      <c r="E17" s="15" t="s">
        <v>11</v>
      </c>
      <c r="I17" s="16"/>
    </row>
    <row r="18" spans="1:9" s="8" customFormat="1" x14ac:dyDescent="0.2">
      <c r="A18" s="10">
        <v>21586</v>
      </c>
      <c r="B18" s="11">
        <v>42706</v>
      </c>
      <c r="C18" s="12">
        <v>87.9</v>
      </c>
      <c r="D18" s="12"/>
      <c r="E18" s="15" t="s">
        <v>82</v>
      </c>
      <c r="I18" s="16"/>
    </row>
    <row r="19" spans="1:9" s="8" customFormat="1" x14ac:dyDescent="0.2">
      <c r="A19" s="10">
        <v>21587</v>
      </c>
      <c r="B19" s="11">
        <v>42706</v>
      </c>
      <c r="C19" s="12">
        <v>180.24</v>
      </c>
      <c r="D19" s="12">
        <v>13.74</v>
      </c>
      <c r="E19" s="15" t="s">
        <v>847</v>
      </c>
      <c r="F19" s="21"/>
      <c r="G19" s="22"/>
      <c r="H19" s="10"/>
      <c r="I19" s="16"/>
    </row>
    <row r="20" spans="1:9" s="8" customFormat="1" x14ac:dyDescent="0.2">
      <c r="A20" s="10">
        <v>21588</v>
      </c>
      <c r="B20" s="11">
        <v>42706</v>
      </c>
      <c r="C20" s="12">
        <v>420.01</v>
      </c>
      <c r="D20" s="12">
        <v>32.01</v>
      </c>
      <c r="E20" s="15" t="s">
        <v>533</v>
      </c>
      <c r="I20" s="16"/>
    </row>
    <row r="21" spans="1:9" s="8" customFormat="1" x14ac:dyDescent="0.2">
      <c r="A21" s="10">
        <v>21589</v>
      </c>
      <c r="B21" s="11">
        <v>42706</v>
      </c>
      <c r="C21" s="12">
        <v>3.1900000000000004</v>
      </c>
      <c r="D21" s="12">
        <v>0.24</v>
      </c>
      <c r="E21" s="17"/>
      <c r="F21" s="134">
        <f>+C16+C17+70</f>
        <v>446.76</v>
      </c>
      <c r="G21" s="123">
        <f>+F21*0.97831</f>
        <v>437.06977560000001</v>
      </c>
      <c r="H21" s="114" t="s">
        <v>848</v>
      </c>
      <c r="I21" s="16"/>
    </row>
    <row r="22" spans="1:9" s="8" customFormat="1" x14ac:dyDescent="0.2">
      <c r="A22" s="10">
        <v>21590</v>
      </c>
      <c r="B22" s="11">
        <v>42707</v>
      </c>
      <c r="C22" s="12">
        <v>21</v>
      </c>
      <c r="D22" s="12">
        <v>1.6</v>
      </c>
      <c r="E22" s="17"/>
      <c r="F22" s="18"/>
      <c r="G22" s="19"/>
      <c r="H22" s="12"/>
      <c r="I22" s="16"/>
    </row>
    <row r="23" spans="1:9" s="8" customFormat="1" x14ac:dyDescent="0.2">
      <c r="A23" s="10">
        <v>21591</v>
      </c>
      <c r="B23" s="11">
        <v>42707</v>
      </c>
      <c r="C23" s="12">
        <v>62.24</v>
      </c>
      <c r="D23" s="12">
        <v>4.74</v>
      </c>
      <c r="E23" s="15"/>
      <c r="F23" s="21"/>
      <c r="G23" s="22"/>
      <c r="H23" s="10"/>
      <c r="I23" s="16"/>
    </row>
    <row r="24" spans="1:9" s="8" customFormat="1" x14ac:dyDescent="0.2">
      <c r="A24" s="10">
        <v>21592</v>
      </c>
      <c r="B24" s="11">
        <v>42707</v>
      </c>
      <c r="C24" s="12"/>
      <c r="D24" s="12"/>
      <c r="E24" s="15" t="s">
        <v>757</v>
      </c>
      <c r="H24" s="10"/>
      <c r="I24" s="16"/>
    </row>
    <row r="25" spans="1:9" s="8" customFormat="1" x14ac:dyDescent="0.2">
      <c r="A25" s="10">
        <v>21593</v>
      </c>
      <c r="B25" s="11">
        <v>42707</v>
      </c>
      <c r="C25" s="12">
        <v>172.12</v>
      </c>
      <c r="D25" s="12">
        <v>13.12</v>
      </c>
      <c r="E25" s="13" t="s">
        <v>849</v>
      </c>
      <c r="H25" s="12"/>
      <c r="I25" s="16"/>
    </row>
    <row r="26" spans="1:9" s="8" customFormat="1" x14ac:dyDescent="0.2">
      <c r="A26" s="10">
        <v>21594</v>
      </c>
      <c r="B26" s="11">
        <v>42707</v>
      </c>
      <c r="C26" s="12">
        <v>83.35</v>
      </c>
      <c r="D26" s="12">
        <v>6.35</v>
      </c>
      <c r="E26" s="15" t="s">
        <v>21</v>
      </c>
      <c r="F26" s="21"/>
      <c r="G26" s="22"/>
      <c r="H26" s="10"/>
      <c r="I26" s="16"/>
    </row>
    <row r="27" spans="1:9" s="8" customFormat="1" x14ac:dyDescent="0.2">
      <c r="A27" s="10">
        <v>21595</v>
      </c>
      <c r="B27" s="11">
        <v>42707</v>
      </c>
      <c r="C27" s="12">
        <v>128</v>
      </c>
      <c r="D27" s="12"/>
      <c r="E27" s="15" t="s">
        <v>21</v>
      </c>
      <c r="F27" s="21"/>
      <c r="G27" s="22"/>
      <c r="H27" s="10"/>
      <c r="I27" s="16"/>
    </row>
    <row r="28" spans="1:9" s="8" customFormat="1" x14ac:dyDescent="0.2">
      <c r="A28" s="10">
        <v>21596</v>
      </c>
      <c r="B28" s="11">
        <v>42707</v>
      </c>
      <c r="C28" s="12">
        <v>111.5</v>
      </c>
      <c r="D28" s="12">
        <v>8.5</v>
      </c>
      <c r="E28" s="15" t="s">
        <v>533</v>
      </c>
      <c r="I28" s="16"/>
    </row>
    <row r="29" spans="1:9" s="8" customFormat="1" x14ac:dyDescent="0.2">
      <c r="A29" s="10">
        <v>21597</v>
      </c>
      <c r="B29" s="11">
        <v>42707</v>
      </c>
      <c r="C29" s="12">
        <v>269.99714999999998</v>
      </c>
      <c r="D29" s="12">
        <v>20.57715</v>
      </c>
      <c r="E29" s="15" t="s">
        <v>850</v>
      </c>
      <c r="F29" s="134">
        <f>+C29</f>
        <v>269.99714999999998</v>
      </c>
      <c r="G29" s="123">
        <f>+F29*0.97831</f>
        <v>264.14091181649997</v>
      </c>
      <c r="H29" s="114" t="s">
        <v>851</v>
      </c>
      <c r="I29" s="16"/>
    </row>
    <row r="30" spans="1:9" s="8" customFormat="1" x14ac:dyDescent="0.2">
      <c r="A30" s="10">
        <v>21598</v>
      </c>
      <c r="B30" s="11">
        <v>42709</v>
      </c>
      <c r="C30" s="12">
        <v>77.8</v>
      </c>
      <c r="D30" s="12"/>
      <c r="E30" s="15" t="s">
        <v>82</v>
      </c>
      <c r="H30" s="10"/>
      <c r="I30" s="16"/>
    </row>
    <row r="31" spans="1:9" s="8" customFormat="1" x14ac:dyDescent="0.2">
      <c r="A31" s="10">
        <v>21599</v>
      </c>
      <c r="B31" s="11">
        <v>42709</v>
      </c>
      <c r="C31" s="12">
        <v>5.3900000000000006</v>
      </c>
      <c r="D31" s="12">
        <v>0.41</v>
      </c>
      <c r="E31" s="17"/>
      <c r="F31" s="18"/>
      <c r="G31" s="19"/>
      <c r="H31" s="12"/>
      <c r="I31" s="16"/>
    </row>
    <row r="32" spans="1:9" s="8" customFormat="1" x14ac:dyDescent="0.2">
      <c r="A32" s="10">
        <v>21600</v>
      </c>
      <c r="B32" s="11">
        <v>42709</v>
      </c>
      <c r="C32" s="12">
        <v>58.550000000000004</v>
      </c>
      <c r="D32" s="12">
        <v>4.46</v>
      </c>
      <c r="E32" s="15" t="s">
        <v>852</v>
      </c>
      <c r="F32" s="21"/>
      <c r="G32" s="22"/>
      <c r="H32" s="10"/>
      <c r="I32" s="16"/>
    </row>
    <row r="33" spans="1:9" s="8" customFormat="1" x14ac:dyDescent="0.2">
      <c r="A33" s="10">
        <v>21601</v>
      </c>
      <c r="B33" s="11">
        <v>42709</v>
      </c>
      <c r="C33" s="12">
        <v>4.33</v>
      </c>
      <c r="D33" s="12">
        <v>0.33</v>
      </c>
      <c r="E33" s="17"/>
      <c r="I33" s="16"/>
    </row>
    <row r="34" spans="1:9" s="8" customFormat="1" x14ac:dyDescent="0.2">
      <c r="A34" s="10">
        <v>21602</v>
      </c>
      <c r="B34" s="11">
        <v>42709</v>
      </c>
      <c r="C34" s="12">
        <v>-21.65</v>
      </c>
      <c r="D34" s="12">
        <v>-1.65</v>
      </c>
      <c r="E34" s="13" t="s">
        <v>86</v>
      </c>
      <c r="I34" s="16"/>
    </row>
    <row r="35" spans="1:9" s="8" customFormat="1" x14ac:dyDescent="0.2">
      <c r="A35" s="10">
        <v>21603</v>
      </c>
      <c r="B35" s="11">
        <v>42709</v>
      </c>
      <c r="C35" s="12">
        <v>36.75</v>
      </c>
      <c r="D35" s="12">
        <v>2.8</v>
      </c>
      <c r="E35" s="15" t="s">
        <v>533</v>
      </c>
      <c r="I35" s="16"/>
    </row>
    <row r="36" spans="1:9" s="8" customFormat="1" x14ac:dyDescent="0.2">
      <c r="A36" s="10">
        <v>21604</v>
      </c>
      <c r="B36" s="11">
        <v>42709</v>
      </c>
      <c r="C36" s="12">
        <v>488</v>
      </c>
      <c r="D36" s="12">
        <v>37.19</v>
      </c>
      <c r="E36" s="15"/>
      <c r="I36" s="16"/>
    </row>
    <row r="37" spans="1:9" s="8" customFormat="1" x14ac:dyDescent="0.2">
      <c r="A37" s="10">
        <v>21605</v>
      </c>
      <c r="B37" s="11">
        <v>42709</v>
      </c>
      <c r="C37" s="12">
        <v>0</v>
      </c>
      <c r="D37" s="12">
        <v>0</v>
      </c>
      <c r="E37" s="15" t="s">
        <v>853</v>
      </c>
      <c r="I37" s="16"/>
    </row>
    <row r="38" spans="1:9" s="8" customFormat="1" x14ac:dyDescent="0.2">
      <c r="A38" s="10">
        <v>21606</v>
      </c>
      <c r="B38" s="11">
        <v>42709</v>
      </c>
      <c r="C38" s="12">
        <v>20</v>
      </c>
      <c r="D38" s="12">
        <v>1.52</v>
      </c>
      <c r="E38" s="15" t="s">
        <v>533</v>
      </c>
      <c r="I38" s="16"/>
    </row>
    <row r="39" spans="1:9" s="8" customFormat="1" x14ac:dyDescent="0.2">
      <c r="A39" s="10">
        <v>21607</v>
      </c>
      <c r="B39" s="11">
        <v>42709</v>
      </c>
      <c r="C39" s="12">
        <v>165</v>
      </c>
      <c r="D39" s="12"/>
      <c r="E39" s="15" t="s">
        <v>854</v>
      </c>
      <c r="F39" s="134">
        <f>+C39</f>
        <v>165</v>
      </c>
      <c r="G39" s="123">
        <f>+F39*0.97831</f>
        <v>161.42115000000001</v>
      </c>
      <c r="H39" s="114" t="s">
        <v>855</v>
      </c>
      <c r="I39" s="16"/>
    </row>
    <row r="40" spans="1:9" s="8" customFormat="1" x14ac:dyDescent="0.2">
      <c r="A40" s="10">
        <v>21608</v>
      </c>
      <c r="B40" s="11">
        <v>42710</v>
      </c>
      <c r="C40" s="12">
        <v>14.07</v>
      </c>
      <c r="D40" s="12">
        <v>1.07</v>
      </c>
      <c r="E40" s="17"/>
      <c r="F40" s="18"/>
      <c r="G40" s="19"/>
      <c r="H40" s="12"/>
      <c r="I40" s="16"/>
    </row>
    <row r="41" spans="1:9" s="8" customFormat="1" x14ac:dyDescent="0.2">
      <c r="A41" s="10">
        <v>21609</v>
      </c>
      <c r="B41" s="11">
        <v>42710</v>
      </c>
      <c r="C41" s="12">
        <v>10.77</v>
      </c>
      <c r="D41" s="12">
        <v>0.82</v>
      </c>
      <c r="E41" s="17"/>
      <c r="H41" s="12"/>
      <c r="I41" s="16"/>
    </row>
    <row r="42" spans="1:9" s="8" customFormat="1" x14ac:dyDescent="0.2">
      <c r="A42" s="10">
        <v>21610</v>
      </c>
      <c r="B42" s="11">
        <v>42710</v>
      </c>
      <c r="C42" s="12">
        <v>259.8</v>
      </c>
      <c r="D42" s="12">
        <v>19.8</v>
      </c>
      <c r="E42" s="15" t="s">
        <v>533</v>
      </c>
      <c r="F42" s="21"/>
      <c r="G42" s="22"/>
      <c r="H42" s="10"/>
      <c r="I42" s="16"/>
    </row>
    <row r="43" spans="1:9" s="8" customFormat="1" x14ac:dyDescent="0.2">
      <c r="A43" s="10">
        <v>21611</v>
      </c>
      <c r="B43" s="11">
        <v>42710</v>
      </c>
      <c r="C43" s="12">
        <v>11</v>
      </c>
      <c r="D43" s="12">
        <v>0.84</v>
      </c>
      <c r="E43" s="13"/>
      <c r="F43" s="18"/>
      <c r="G43" s="19"/>
      <c r="H43" s="12"/>
      <c r="I43" s="16"/>
    </row>
    <row r="44" spans="1:9" s="8" customFormat="1" x14ac:dyDescent="0.2">
      <c r="A44" s="10">
        <v>21612</v>
      </c>
      <c r="B44" s="11">
        <v>42710</v>
      </c>
      <c r="C44" s="12">
        <v>12.99</v>
      </c>
      <c r="D44" s="12">
        <v>0.99</v>
      </c>
      <c r="E44" s="15" t="s">
        <v>11</v>
      </c>
      <c r="F44" s="21"/>
      <c r="G44" s="22"/>
      <c r="H44" s="10"/>
      <c r="I44" s="16"/>
    </row>
    <row r="45" spans="1:9" s="8" customFormat="1" x14ac:dyDescent="0.2">
      <c r="A45" s="10">
        <v>21613</v>
      </c>
      <c r="B45" s="11">
        <v>42710</v>
      </c>
      <c r="C45" s="12">
        <v>85</v>
      </c>
      <c r="D45" s="12">
        <v>6.48</v>
      </c>
      <c r="E45" s="17"/>
      <c r="F45" s="134">
        <f>+C44</f>
        <v>12.99</v>
      </c>
      <c r="G45" s="123">
        <f>+F45*0.97831</f>
        <v>12.708246900000001</v>
      </c>
      <c r="H45" s="114" t="s">
        <v>856</v>
      </c>
      <c r="I45" s="16"/>
    </row>
    <row r="46" spans="1:9" s="8" customFormat="1" x14ac:dyDescent="0.2">
      <c r="A46" s="10">
        <v>21614</v>
      </c>
      <c r="B46" s="11">
        <v>42711</v>
      </c>
      <c r="C46" s="12">
        <v>235</v>
      </c>
      <c r="D46" s="12">
        <v>17.91</v>
      </c>
      <c r="E46" s="17"/>
      <c r="F46" s="18"/>
      <c r="G46" s="19"/>
      <c r="H46" s="12"/>
      <c r="I46" s="16"/>
    </row>
    <row r="47" spans="1:9" s="8" customFormat="1" x14ac:dyDescent="0.2">
      <c r="A47" s="10">
        <v>21615</v>
      </c>
      <c r="B47" s="11">
        <v>42711</v>
      </c>
      <c r="C47" s="12">
        <v>25.98</v>
      </c>
      <c r="D47" s="12">
        <v>1.98</v>
      </c>
      <c r="E47" s="15" t="s">
        <v>13</v>
      </c>
      <c r="H47" s="10"/>
      <c r="I47" s="16"/>
    </row>
    <row r="48" spans="1:9" s="8" customFormat="1" x14ac:dyDescent="0.2">
      <c r="A48" s="10">
        <v>21616</v>
      </c>
      <c r="B48" s="11">
        <v>42711</v>
      </c>
      <c r="C48" s="12">
        <v>165.00000000000003</v>
      </c>
      <c r="D48" s="12">
        <v>12.58</v>
      </c>
      <c r="E48" s="17"/>
      <c r="F48" s="18"/>
      <c r="G48" s="19"/>
      <c r="H48" s="12"/>
      <c r="I48" s="16"/>
    </row>
    <row r="49" spans="1:9" s="8" customFormat="1" x14ac:dyDescent="0.2">
      <c r="A49" s="10">
        <v>21617</v>
      </c>
      <c r="B49" s="11">
        <v>42711</v>
      </c>
      <c r="C49" s="12">
        <v>177.53</v>
      </c>
      <c r="D49" s="12">
        <v>13.53</v>
      </c>
      <c r="E49" s="13"/>
      <c r="F49" s="18"/>
      <c r="G49" s="19"/>
      <c r="H49" s="12"/>
      <c r="I49" s="16"/>
    </row>
    <row r="50" spans="1:9" s="8" customFormat="1" x14ac:dyDescent="0.2">
      <c r="A50" s="10">
        <v>21618</v>
      </c>
      <c r="B50" s="11">
        <v>42711</v>
      </c>
      <c r="C50" s="12">
        <v>3.1900000000000004</v>
      </c>
      <c r="D50" s="12">
        <v>0.24</v>
      </c>
      <c r="E50" s="17"/>
      <c r="H50" s="12"/>
      <c r="I50" s="16"/>
    </row>
    <row r="51" spans="1:9" s="8" customFormat="1" x14ac:dyDescent="0.2">
      <c r="A51" s="10">
        <v>21619</v>
      </c>
      <c r="B51" s="11">
        <v>42711</v>
      </c>
      <c r="C51" s="12">
        <v>4.59</v>
      </c>
      <c r="D51" s="12"/>
      <c r="E51" s="15" t="s">
        <v>280</v>
      </c>
      <c r="F51" s="21"/>
      <c r="G51" s="22"/>
      <c r="H51" s="10"/>
      <c r="I51" s="16"/>
    </row>
    <row r="52" spans="1:9" s="8" customFormat="1" x14ac:dyDescent="0.2">
      <c r="A52" s="10">
        <v>21620</v>
      </c>
      <c r="B52" s="11">
        <v>42711</v>
      </c>
      <c r="C52" s="12">
        <v>21.65</v>
      </c>
      <c r="D52" s="12">
        <v>1.65</v>
      </c>
      <c r="E52" s="17"/>
      <c r="H52" s="12"/>
      <c r="I52" s="16"/>
    </row>
    <row r="53" spans="1:9" s="8" customFormat="1" x14ac:dyDescent="0.2">
      <c r="A53" s="10">
        <v>21621</v>
      </c>
      <c r="B53" s="11">
        <v>42711</v>
      </c>
      <c r="C53" s="12">
        <v>70</v>
      </c>
      <c r="D53" s="12"/>
      <c r="E53" s="15" t="s">
        <v>82</v>
      </c>
      <c r="H53" s="10"/>
      <c r="I53" s="16"/>
    </row>
    <row r="54" spans="1:9" s="8" customFormat="1" x14ac:dyDescent="0.2">
      <c r="A54" s="10">
        <v>21622</v>
      </c>
      <c r="B54" s="11">
        <v>42711</v>
      </c>
      <c r="C54" s="12">
        <v>10</v>
      </c>
      <c r="D54" s="12"/>
      <c r="E54" s="15" t="s">
        <v>857</v>
      </c>
      <c r="F54" s="134">
        <f>+C47+C51</f>
        <v>30.57</v>
      </c>
      <c r="G54" s="123">
        <f>+F54*0.97831</f>
        <v>29.906936699999999</v>
      </c>
      <c r="H54" s="10"/>
      <c r="I54" s="16"/>
    </row>
    <row r="55" spans="1:9" s="8" customFormat="1" x14ac:dyDescent="0.2">
      <c r="A55" s="10">
        <v>21623</v>
      </c>
      <c r="B55" s="11">
        <v>42712</v>
      </c>
      <c r="C55" s="12">
        <v>389.7</v>
      </c>
      <c r="D55" s="12">
        <v>29.7</v>
      </c>
      <c r="E55" s="15" t="s">
        <v>21</v>
      </c>
      <c r="F55" s="21"/>
      <c r="G55" s="22"/>
      <c r="H55" s="10"/>
      <c r="I55" s="16"/>
    </row>
    <row r="56" spans="1:9" s="8" customFormat="1" x14ac:dyDescent="0.2">
      <c r="A56" s="10">
        <v>21624</v>
      </c>
      <c r="B56" s="11">
        <v>42712</v>
      </c>
      <c r="C56" s="12">
        <v>163</v>
      </c>
      <c r="D56" s="12">
        <v>9.56</v>
      </c>
      <c r="E56" s="13"/>
      <c r="F56" s="18"/>
      <c r="G56" s="19"/>
      <c r="H56" s="12"/>
      <c r="I56" s="16"/>
    </row>
    <row r="57" spans="1:9" s="8" customFormat="1" x14ac:dyDescent="0.2">
      <c r="A57" s="10">
        <v>21625</v>
      </c>
      <c r="B57" s="11">
        <v>42712</v>
      </c>
      <c r="C57" s="12">
        <v>27</v>
      </c>
      <c r="D57" s="12">
        <v>2.06</v>
      </c>
      <c r="E57" s="15" t="s">
        <v>11</v>
      </c>
      <c r="H57" s="10"/>
      <c r="I57" s="16"/>
    </row>
    <row r="58" spans="1:9" s="8" customFormat="1" x14ac:dyDescent="0.2">
      <c r="A58" s="10">
        <v>21626</v>
      </c>
      <c r="B58" s="11">
        <v>42712</v>
      </c>
      <c r="C58" s="12">
        <v>325</v>
      </c>
      <c r="D58" s="12">
        <v>24.77</v>
      </c>
      <c r="E58" s="15"/>
      <c r="F58" s="21"/>
      <c r="G58" s="22"/>
      <c r="H58" s="10"/>
      <c r="I58" s="16"/>
    </row>
    <row r="59" spans="1:9" s="8" customFormat="1" x14ac:dyDescent="0.2">
      <c r="A59" s="10">
        <v>21627</v>
      </c>
      <c r="B59" s="11">
        <v>42712</v>
      </c>
      <c r="C59" s="12">
        <v>3.25</v>
      </c>
      <c r="D59" s="12">
        <v>0.25</v>
      </c>
      <c r="E59" s="17"/>
      <c r="F59" s="18"/>
      <c r="G59" s="19"/>
      <c r="H59" s="12"/>
      <c r="I59" s="16"/>
    </row>
    <row r="60" spans="1:9" s="8" customFormat="1" x14ac:dyDescent="0.2">
      <c r="A60" s="10">
        <v>21628</v>
      </c>
      <c r="B60" s="11">
        <v>42712</v>
      </c>
      <c r="C60" s="12">
        <v>174.82</v>
      </c>
      <c r="D60" s="12">
        <v>13.32</v>
      </c>
      <c r="E60" s="13" t="s">
        <v>858</v>
      </c>
      <c r="H60" s="12"/>
      <c r="I60" s="16"/>
    </row>
    <row r="61" spans="1:9" s="8" customFormat="1" x14ac:dyDescent="0.2">
      <c r="A61" s="10">
        <v>21629</v>
      </c>
      <c r="B61" s="11">
        <v>42712</v>
      </c>
      <c r="C61" s="12">
        <v>191</v>
      </c>
      <c r="D61" s="12"/>
      <c r="E61" s="15" t="s">
        <v>563</v>
      </c>
      <c r="F61" s="21"/>
      <c r="G61" s="22"/>
      <c r="H61" s="10"/>
      <c r="I61" s="16"/>
    </row>
    <row r="62" spans="1:9" s="8" customFormat="1" x14ac:dyDescent="0.2">
      <c r="A62" s="10">
        <v>21630</v>
      </c>
      <c r="B62" s="11">
        <v>42712</v>
      </c>
      <c r="C62" s="12">
        <v>93.1</v>
      </c>
      <c r="D62" s="12">
        <v>7.1</v>
      </c>
      <c r="E62" s="15" t="s">
        <v>11</v>
      </c>
      <c r="F62" s="21"/>
      <c r="G62" s="22"/>
      <c r="H62" s="10"/>
      <c r="I62" s="16"/>
    </row>
    <row r="63" spans="1:9" s="8" customFormat="1" x14ac:dyDescent="0.2">
      <c r="A63" s="10">
        <v>21631</v>
      </c>
      <c r="B63" s="11">
        <v>42712</v>
      </c>
      <c r="C63" s="12">
        <v>10.83</v>
      </c>
      <c r="D63" s="12">
        <v>0.83</v>
      </c>
      <c r="E63" s="15" t="s">
        <v>11</v>
      </c>
      <c r="F63" s="134">
        <f>+C57+C62+C63</f>
        <v>130.93</v>
      </c>
      <c r="G63" s="123">
        <f>+F63*0.97831</f>
        <v>128.0901283</v>
      </c>
      <c r="H63" s="10"/>
      <c r="I63" s="16"/>
    </row>
    <row r="64" spans="1:9" s="8" customFormat="1" x14ac:dyDescent="0.2">
      <c r="A64" s="10">
        <v>21632</v>
      </c>
      <c r="B64" s="11">
        <v>42713</v>
      </c>
      <c r="C64" s="12">
        <v>12.99</v>
      </c>
      <c r="D64" s="12">
        <v>0.99</v>
      </c>
      <c r="E64" s="17"/>
      <c r="F64" s="18"/>
      <c r="G64" s="19"/>
      <c r="H64" s="12"/>
      <c r="I64" s="16"/>
    </row>
    <row r="65" spans="1:9" s="8" customFormat="1" x14ac:dyDescent="0.2">
      <c r="A65" s="10">
        <v>21633</v>
      </c>
      <c r="B65" s="11">
        <v>42713</v>
      </c>
      <c r="C65" s="12">
        <v>10.6</v>
      </c>
      <c r="D65" s="12"/>
      <c r="E65" s="15" t="s">
        <v>280</v>
      </c>
      <c r="H65" s="10"/>
      <c r="I65" s="16"/>
    </row>
    <row r="66" spans="1:9" s="8" customFormat="1" x14ac:dyDescent="0.2">
      <c r="A66" s="10">
        <v>21634</v>
      </c>
      <c r="B66" s="11">
        <v>42713</v>
      </c>
      <c r="C66" s="12">
        <v>182.94</v>
      </c>
      <c r="D66" s="12">
        <v>13.94</v>
      </c>
      <c r="E66" s="15" t="s">
        <v>11</v>
      </c>
      <c r="F66" s="134">
        <f>+C65+C66</f>
        <v>193.54</v>
      </c>
      <c r="G66" s="123">
        <f>+F66*0.97831</f>
        <v>189.34211740000001</v>
      </c>
      <c r="H66" s="10"/>
      <c r="I66" s="16"/>
    </row>
    <row r="67" spans="1:9" s="8" customFormat="1" x14ac:dyDescent="0.2">
      <c r="A67" s="10">
        <v>21635</v>
      </c>
      <c r="B67" s="11">
        <v>42714</v>
      </c>
      <c r="C67" s="12">
        <v>204.59</v>
      </c>
      <c r="D67" s="12">
        <v>15.59</v>
      </c>
      <c r="E67" s="15" t="s">
        <v>859</v>
      </c>
      <c r="F67" s="170"/>
      <c r="G67" s="170"/>
      <c r="H67" s="10"/>
      <c r="I67" s="16"/>
    </row>
    <row r="68" spans="1:9" s="8" customFormat="1" x14ac:dyDescent="0.2">
      <c r="A68" s="10">
        <v>21636</v>
      </c>
      <c r="B68" s="11">
        <v>42714</v>
      </c>
      <c r="C68" s="12">
        <v>35.67</v>
      </c>
      <c r="D68" s="12">
        <v>2.72</v>
      </c>
      <c r="E68" s="15" t="s">
        <v>7</v>
      </c>
      <c r="F68" s="21"/>
      <c r="G68" s="22"/>
      <c r="H68" s="10"/>
      <c r="I68" s="16"/>
    </row>
    <row r="69" spans="1:9" s="8" customFormat="1" x14ac:dyDescent="0.2">
      <c r="A69" s="10">
        <v>21637</v>
      </c>
      <c r="B69" s="11">
        <v>42714</v>
      </c>
      <c r="C69" s="12">
        <v>64.900000000000006</v>
      </c>
      <c r="D69" s="12">
        <v>4.95</v>
      </c>
      <c r="E69" s="15" t="s">
        <v>11</v>
      </c>
      <c r="H69" s="10"/>
      <c r="I69" s="16"/>
    </row>
    <row r="70" spans="1:9" s="8" customFormat="1" x14ac:dyDescent="0.2">
      <c r="A70" s="10">
        <v>21638</v>
      </c>
      <c r="B70" s="11">
        <v>42714</v>
      </c>
      <c r="C70" s="12">
        <v>85.52</v>
      </c>
      <c r="D70" s="12">
        <v>6.52</v>
      </c>
      <c r="E70" s="15" t="s">
        <v>11</v>
      </c>
      <c r="H70" s="10"/>
      <c r="I70" s="16"/>
    </row>
    <row r="71" spans="1:9" s="8" customFormat="1" x14ac:dyDescent="0.2">
      <c r="A71" s="10">
        <v>21639</v>
      </c>
      <c r="B71" s="11">
        <v>42714</v>
      </c>
      <c r="C71" s="12">
        <v>117.94</v>
      </c>
      <c r="D71" s="12">
        <v>8.99</v>
      </c>
      <c r="E71" s="17"/>
      <c r="F71" s="21"/>
      <c r="G71" s="22"/>
      <c r="H71" s="12"/>
      <c r="I71" s="16"/>
    </row>
    <row r="72" spans="1:9" s="8" customFormat="1" x14ac:dyDescent="0.2">
      <c r="A72" s="10">
        <v>21640</v>
      </c>
      <c r="B72" s="11">
        <v>42714</v>
      </c>
      <c r="C72" s="12">
        <v>384.99999999999994</v>
      </c>
      <c r="D72" s="12">
        <v>29.34</v>
      </c>
      <c r="E72" s="13" t="s">
        <v>860</v>
      </c>
      <c r="H72" s="12"/>
      <c r="I72" s="16"/>
    </row>
    <row r="73" spans="1:9" s="8" customFormat="1" x14ac:dyDescent="0.2">
      <c r="A73" s="10">
        <v>21641</v>
      </c>
      <c r="B73" s="11">
        <v>42715</v>
      </c>
      <c r="C73" s="12">
        <v>307</v>
      </c>
      <c r="D73" s="12">
        <v>23.4</v>
      </c>
      <c r="E73" s="23"/>
      <c r="F73" s="20">
        <f>100+C68+C69+C70</f>
        <v>286.09000000000003</v>
      </c>
      <c r="G73" s="20">
        <v>282.92</v>
      </c>
      <c r="H73" s="10"/>
      <c r="I73" s="16"/>
    </row>
    <row r="74" spans="1:9" s="8" customFormat="1" x14ac:dyDescent="0.2">
      <c r="A74" s="10">
        <v>21642</v>
      </c>
      <c r="B74" s="11">
        <v>42716</v>
      </c>
      <c r="C74" s="12">
        <v>21.65</v>
      </c>
      <c r="D74" s="12">
        <v>1.65</v>
      </c>
      <c r="E74" s="17"/>
      <c r="F74" s="18"/>
      <c r="G74" s="19"/>
      <c r="H74" s="12"/>
      <c r="I74" s="16"/>
    </row>
    <row r="75" spans="1:9" s="8" customFormat="1" x14ac:dyDescent="0.2">
      <c r="A75" s="10">
        <v>21643</v>
      </c>
      <c r="B75" s="11">
        <v>42716</v>
      </c>
      <c r="C75" s="12">
        <v>60.62</v>
      </c>
      <c r="D75" s="12">
        <v>4.62</v>
      </c>
      <c r="E75" s="15" t="s">
        <v>533</v>
      </c>
      <c r="F75" s="21"/>
      <c r="G75" s="22"/>
      <c r="H75" s="10"/>
      <c r="I75" s="16"/>
    </row>
    <row r="76" spans="1:9" s="8" customFormat="1" x14ac:dyDescent="0.2">
      <c r="A76" s="10">
        <v>21644</v>
      </c>
      <c r="B76" s="11">
        <v>42716</v>
      </c>
      <c r="C76" s="12">
        <v>174.82</v>
      </c>
      <c r="D76" s="12">
        <v>13.32</v>
      </c>
      <c r="E76" s="15" t="s">
        <v>11</v>
      </c>
      <c r="I76" s="16"/>
    </row>
    <row r="77" spans="1:9" s="8" customFormat="1" x14ac:dyDescent="0.2">
      <c r="A77" s="10">
        <v>21645</v>
      </c>
      <c r="B77" s="11">
        <v>42716</v>
      </c>
      <c r="C77" s="12">
        <v>110</v>
      </c>
      <c r="D77" s="12">
        <v>8.3800000000000008</v>
      </c>
      <c r="E77" s="13" t="s">
        <v>861</v>
      </c>
      <c r="I77" s="16"/>
    </row>
    <row r="78" spans="1:9" s="8" customFormat="1" x14ac:dyDescent="0.2">
      <c r="A78" s="10">
        <v>21646</v>
      </c>
      <c r="B78" s="11">
        <v>42716</v>
      </c>
      <c r="C78" s="12">
        <v>120</v>
      </c>
      <c r="D78" s="12">
        <v>9.15</v>
      </c>
      <c r="E78" s="17"/>
      <c r="F78" s="18"/>
      <c r="G78" s="19"/>
      <c r="H78" s="12"/>
      <c r="I78" s="16"/>
    </row>
    <row r="79" spans="1:9" s="8" customFormat="1" x14ac:dyDescent="0.2">
      <c r="A79" s="10">
        <v>21647</v>
      </c>
      <c r="B79" s="11">
        <v>42716</v>
      </c>
      <c r="C79" s="12">
        <v>579.14</v>
      </c>
      <c r="D79" s="12">
        <v>44.14</v>
      </c>
      <c r="E79" s="13" t="s">
        <v>862</v>
      </c>
      <c r="I79" s="16"/>
    </row>
    <row r="80" spans="1:9" s="8" customFormat="1" x14ac:dyDescent="0.2">
      <c r="A80" s="10">
        <v>21648</v>
      </c>
      <c r="B80" s="11">
        <v>42716</v>
      </c>
      <c r="C80" s="12">
        <v>0</v>
      </c>
      <c r="D80" s="12">
        <v>0</v>
      </c>
      <c r="E80" s="15" t="s">
        <v>863</v>
      </c>
      <c r="F80" s="20">
        <f>+C76+479.14+170.86</f>
        <v>824.82</v>
      </c>
      <c r="G80" s="20">
        <f>648.66+148.21</f>
        <v>796.87</v>
      </c>
      <c r="H80" s="114"/>
      <c r="I80" s="16"/>
    </row>
    <row r="81" spans="1:9" s="8" customFormat="1" x14ac:dyDescent="0.2">
      <c r="A81" s="10">
        <v>21649</v>
      </c>
      <c r="B81" s="11">
        <v>42717</v>
      </c>
      <c r="C81" s="12">
        <v>824</v>
      </c>
      <c r="D81" s="12">
        <v>62.8</v>
      </c>
      <c r="E81" s="15" t="s">
        <v>864</v>
      </c>
      <c r="F81" s="21"/>
      <c r="G81" s="22"/>
      <c r="H81" s="10"/>
      <c r="I81" s="16"/>
    </row>
    <row r="82" spans="1:9" s="8" customFormat="1" x14ac:dyDescent="0.2">
      <c r="A82" s="10">
        <v>21650</v>
      </c>
      <c r="B82" s="11">
        <v>42717</v>
      </c>
      <c r="C82" s="12">
        <v>130</v>
      </c>
      <c r="D82" s="12"/>
      <c r="E82" s="13" t="s">
        <v>865</v>
      </c>
      <c r="F82" s="18"/>
      <c r="G82" s="19"/>
      <c r="H82" s="12"/>
      <c r="I82" s="16"/>
    </row>
    <row r="83" spans="1:9" s="8" customFormat="1" x14ac:dyDescent="0.2">
      <c r="A83" s="10">
        <v>21651</v>
      </c>
      <c r="B83" s="11">
        <v>42717</v>
      </c>
      <c r="C83" s="12">
        <v>17</v>
      </c>
      <c r="D83" s="12">
        <v>1.3</v>
      </c>
      <c r="E83" s="17"/>
      <c r="F83" s="18"/>
      <c r="G83" s="19"/>
      <c r="H83" s="12"/>
      <c r="I83" s="16"/>
    </row>
    <row r="84" spans="1:9" s="8" customFormat="1" x14ac:dyDescent="0.2">
      <c r="A84" s="10">
        <v>21652</v>
      </c>
      <c r="B84" s="11">
        <v>42717</v>
      </c>
      <c r="C84" s="12">
        <v>-50</v>
      </c>
      <c r="D84" s="12"/>
      <c r="E84" s="13" t="s">
        <v>866</v>
      </c>
      <c r="I84" s="16"/>
    </row>
    <row r="85" spans="1:9" s="8" customFormat="1" x14ac:dyDescent="0.2">
      <c r="A85" s="10">
        <v>21653</v>
      </c>
      <c r="B85" s="11">
        <v>42717</v>
      </c>
      <c r="C85" s="12">
        <v>261.42</v>
      </c>
      <c r="D85" s="12">
        <v>19.920000000000002</v>
      </c>
      <c r="E85" s="15" t="s">
        <v>867</v>
      </c>
      <c r="F85" s="21"/>
      <c r="G85" s="22"/>
      <c r="H85" s="10"/>
      <c r="I85" s="16"/>
    </row>
    <row r="86" spans="1:9" s="8" customFormat="1" x14ac:dyDescent="0.2">
      <c r="A86" s="10">
        <v>21654</v>
      </c>
      <c r="B86" s="11">
        <v>42717</v>
      </c>
      <c r="C86" s="12">
        <v>192.69</v>
      </c>
      <c r="D86" s="12">
        <v>14.69</v>
      </c>
      <c r="E86" s="13" t="s">
        <v>868</v>
      </c>
      <c r="I86" s="16"/>
    </row>
    <row r="87" spans="1:9" s="8" customFormat="1" x14ac:dyDescent="0.2">
      <c r="A87" s="10">
        <v>21655</v>
      </c>
      <c r="B87" s="11">
        <v>42717</v>
      </c>
      <c r="C87" s="12">
        <v>9</v>
      </c>
      <c r="D87" s="12"/>
      <c r="E87" s="15" t="s">
        <v>869</v>
      </c>
      <c r="I87" s="16"/>
    </row>
    <row r="88" spans="1:9" s="8" customFormat="1" x14ac:dyDescent="0.2">
      <c r="A88" s="10">
        <v>21656</v>
      </c>
      <c r="B88" s="11">
        <v>42717</v>
      </c>
      <c r="C88" s="12">
        <v>182.22000000000003</v>
      </c>
      <c r="D88" s="12">
        <v>13.89</v>
      </c>
      <c r="E88" s="15"/>
      <c r="F88" s="21"/>
      <c r="G88" s="22"/>
      <c r="H88" s="10"/>
      <c r="I88" s="16"/>
    </row>
    <row r="89" spans="1:9" s="8" customFormat="1" x14ac:dyDescent="0.2">
      <c r="A89" s="10">
        <v>21657</v>
      </c>
      <c r="B89" s="11">
        <v>42717</v>
      </c>
      <c r="C89" s="12">
        <v>0</v>
      </c>
      <c r="D89" s="12">
        <v>0</v>
      </c>
      <c r="E89" s="13" t="s">
        <v>870</v>
      </c>
      <c r="I89" s="16"/>
    </row>
    <row r="90" spans="1:9" s="8" customFormat="1" x14ac:dyDescent="0.2">
      <c r="A90" s="10">
        <v>21658</v>
      </c>
      <c r="B90" s="11">
        <v>42717</v>
      </c>
      <c r="C90" s="12">
        <v>235</v>
      </c>
      <c r="D90" s="12">
        <v>17.91</v>
      </c>
      <c r="E90" s="15"/>
      <c r="F90" s="20">
        <f>300+250+112.22</f>
        <v>662.22</v>
      </c>
      <c r="G90" s="20">
        <f>539.06+97.35</f>
        <v>636.41</v>
      </c>
      <c r="H90" s="114"/>
      <c r="I90" s="16"/>
    </row>
    <row r="91" spans="1:9" s="8" customFormat="1" x14ac:dyDescent="0.2">
      <c r="A91" s="10">
        <v>21659</v>
      </c>
      <c r="B91" s="11">
        <v>42718</v>
      </c>
      <c r="C91" s="12">
        <v>21.599999999999998</v>
      </c>
      <c r="D91" s="12">
        <v>1.65</v>
      </c>
      <c r="E91" s="17"/>
      <c r="F91" s="18"/>
      <c r="G91" s="19"/>
      <c r="H91" s="12"/>
      <c r="I91" s="16"/>
    </row>
    <row r="92" spans="1:9" s="8" customFormat="1" x14ac:dyDescent="0.2">
      <c r="A92" s="10">
        <v>21660</v>
      </c>
      <c r="B92" s="11">
        <v>42718</v>
      </c>
      <c r="C92" s="12">
        <v>3.25</v>
      </c>
      <c r="D92" s="12">
        <v>0.25</v>
      </c>
      <c r="E92" s="17"/>
      <c r="H92" s="12"/>
      <c r="I92" s="16"/>
    </row>
    <row r="93" spans="1:9" s="8" customFormat="1" x14ac:dyDescent="0.2">
      <c r="A93" s="10">
        <v>21661</v>
      </c>
      <c r="B93" s="11">
        <v>42718</v>
      </c>
      <c r="C93" s="12">
        <v>25.98</v>
      </c>
      <c r="D93" s="12">
        <v>1.98</v>
      </c>
      <c r="E93" s="15" t="s">
        <v>11</v>
      </c>
      <c r="F93" s="21"/>
      <c r="G93" s="22"/>
      <c r="H93" s="10"/>
      <c r="I93" s="16"/>
    </row>
    <row r="94" spans="1:9" s="8" customFormat="1" x14ac:dyDescent="0.2">
      <c r="A94" s="10">
        <v>21662</v>
      </c>
      <c r="B94" s="11">
        <v>42718</v>
      </c>
      <c r="C94" s="12">
        <v>206.22</v>
      </c>
      <c r="D94" s="12">
        <v>15.72</v>
      </c>
      <c r="E94" s="13"/>
      <c r="H94" s="12"/>
      <c r="I94" s="16"/>
    </row>
    <row r="95" spans="1:9" s="8" customFormat="1" x14ac:dyDescent="0.2">
      <c r="A95" s="10">
        <v>21663</v>
      </c>
      <c r="B95" s="11">
        <v>42718</v>
      </c>
      <c r="C95" s="12">
        <v>350</v>
      </c>
      <c r="D95" s="12">
        <v>26.67</v>
      </c>
      <c r="E95" s="15"/>
      <c r="H95" s="10"/>
      <c r="I95" s="16"/>
    </row>
    <row r="96" spans="1:9" s="8" customFormat="1" x14ac:dyDescent="0.2">
      <c r="A96" s="10">
        <v>21664</v>
      </c>
      <c r="B96" s="11">
        <v>42718</v>
      </c>
      <c r="C96" s="12">
        <v>216.5</v>
      </c>
      <c r="D96" s="12">
        <v>16.5</v>
      </c>
      <c r="E96" s="15" t="s">
        <v>7</v>
      </c>
      <c r="H96" s="10"/>
      <c r="I96" s="16"/>
    </row>
    <row r="97" spans="1:9" s="8" customFormat="1" x14ac:dyDescent="0.2">
      <c r="A97" s="10">
        <v>21665</v>
      </c>
      <c r="B97" s="11">
        <v>42718</v>
      </c>
      <c r="C97" s="12">
        <v>453.57</v>
      </c>
      <c r="D97" s="12">
        <v>34.57</v>
      </c>
      <c r="E97" s="13" t="s">
        <v>871</v>
      </c>
      <c r="H97" s="12"/>
      <c r="I97" s="16"/>
    </row>
    <row r="98" spans="1:9" s="8" customFormat="1" x14ac:dyDescent="0.2">
      <c r="A98" s="10">
        <v>21666</v>
      </c>
      <c r="B98" s="11">
        <v>42718</v>
      </c>
      <c r="C98" s="12">
        <v>62.79</v>
      </c>
      <c r="D98" s="12">
        <v>4.79</v>
      </c>
      <c r="E98" s="17"/>
      <c r="F98" s="20">
        <f>+C96+C93</f>
        <v>242.48</v>
      </c>
      <c r="G98" s="20">
        <v>237.37</v>
      </c>
      <c r="H98" s="12"/>
      <c r="I98" s="16"/>
    </row>
    <row r="99" spans="1:9" s="8" customFormat="1" x14ac:dyDescent="0.2">
      <c r="A99" s="10">
        <v>21667</v>
      </c>
      <c r="B99" s="11">
        <v>42719</v>
      </c>
      <c r="C99" s="12">
        <v>18</v>
      </c>
      <c r="D99" s="12"/>
      <c r="E99" s="17"/>
      <c r="F99" s="18"/>
      <c r="G99" s="19"/>
      <c r="H99" s="12"/>
      <c r="I99" s="16"/>
    </row>
    <row r="100" spans="1:9" s="8" customFormat="1" x14ac:dyDescent="0.2">
      <c r="A100" s="10">
        <v>21668</v>
      </c>
      <c r="B100" s="11">
        <v>42719</v>
      </c>
      <c r="C100" s="12">
        <v>62.79</v>
      </c>
      <c r="D100" s="12">
        <v>4.79</v>
      </c>
      <c r="E100" s="15" t="s">
        <v>11</v>
      </c>
      <c r="H100" s="10"/>
      <c r="I100" s="16"/>
    </row>
    <row r="101" spans="1:9" s="8" customFormat="1" x14ac:dyDescent="0.2">
      <c r="A101" s="10">
        <v>21669</v>
      </c>
      <c r="B101" s="11">
        <v>42719</v>
      </c>
      <c r="C101" s="12">
        <v>10</v>
      </c>
      <c r="D101" s="12">
        <v>0.76</v>
      </c>
      <c r="E101" s="17"/>
      <c r="F101" s="18"/>
      <c r="G101" s="19"/>
      <c r="H101" s="12"/>
      <c r="I101" s="16"/>
    </row>
    <row r="102" spans="1:9" s="8" customFormat="1" x14ac:dyDescent="0.2">
      <c r="A102" s="10">
        <v>21670</v>
      </c>
      <c r="B102" s="11">
        <v>42719</v>
      </c>
      <c r="C102" s="12">
        <v>208</v>
      </c>
      <c r="D102" s="12">
        <v>15.86</v>
      </c>
      <c r="E102" s="17"/>
      <c r="F102" s="18"/>
      <c r="G102" s="19"/>
      <c r="H102" s="12"/>
      <c r="I102" s="16"/>
    </row>
    <row r="103" spans="1:9" s="8" customFormat="1" x14ac:dyDescent="0.2">
      <c r="A103" s="10">
        <v>21671</v>
      </c>
      <c r="B103" s="11">
        <v>42719</v>
      </c>
      <c r="C103" s="12">
        <v>46</v>
      </c>
      <c r="D103" s="12">
        <v>3.51</v>
      </c>
      <c r="E103" s="15" t="s">
        <v>11</v>
      </c>
      <c r="H103" s="10"/>
      <c r="I103" s="16"/>
    </row>
    <row r="104" spans="1:9" s="8" customFormat="1" x14ac:dyDescent="0.2">
      <c r="A104" s="10">
        <v>21672</v>
      </c>
      <c r="B104" s="11">
        <v>42719</v>
      </c>
      <c r="C104" s="12">
        <v>55.21</v>
      </c>
      <c r="D104" s="12">
        <v>4.21</v>
      </c>
      <c r="E104" s="15" t="s">
        <v>11</v>
      </c>
      <c r="H104" s="10"/>
      <c r="I104" s="16"/>
    </row>
    <row r="105" spans="1:9" s="8" customFormat="1" x14ac:dyDescent="0.2">
      <c r="A105" s="10">
        <v>21673</v>
      </c>
      <c r="B105" s="11">
        <v>42719</v>
      </c>
      <c r="C105" s="12">
        <v>8</v>
      </c>
      <c r="D105" s="12">
        <v>0.61</v>
      </c>
      <c r="E105" s="15" t="s">
        <v>872</v>
      </c>
      <c r="H105" s="10"/>
      <c r="I105" s="16"/>
    </row>
    <row r="106" spans="1:9" s="8" customFormat="1" x14ac:dyDescent="0.2">
      <c r="A106" s="10">
        <v>21674</v>
      </c>
      <c r="B106" s="11">
        <v>42719</v>
      </c>
      <c r="C106" s="12">
        <v>42.22</v>
      </c>
      <c r="D106" s="12">
        <v>3.22</v>
      </c>
      <c r="E106" s="15" t="s">
        <v>133</v>
      </c>
      <c r="F106" s="20">
        <f>+C100+C103+C104</f>
        <v>164</v>
      </c>
      <c r="G106" s="20">
        <v>161.87</v>
      </c>
      <c r="H106" s="10"/>
      <c r="I106" s="16"/>
    </row>
    <row r="107" spans="1:9" s="8" customFormat="1" x14ac:dyDescent="0.2">
      <c r="A107" s="10">
        <v>21675</v>
      </c>
      <c r="B107" s="11">
        <v>42720</v>
      </c>
      <c r="C107" s="12">
        <v>31.39</v>
      </c>
      <c r="D107" s="12">
        <v>2.39</v>
      </c>
      <c r="E107" s="15" t="s">
        <v>11</v>
      </c>
      <c r="F107" s="21"/>
      <c r="G107" s="22"/>
      <c r="H107" s="10"/>
      <c r="I107" s="16"/>
    </row>
    <row r="108" spans="1:9" s="8" customFormat="1" x14ac:dyDescent="0.2">
      <c r="A108" s="10">
        <v>21676</v>
      </c>
      <c r="B108" s="11">
        <v>42720</v>
      </c>
      <c r="C108" s="12">
        <v>37.89</v>
      </c>
      <c r="D108" s="12">
        <v>2.89</v>
      </c>
      <c r="E108" s="15"/>
      <c r="F108" s="21"/>
      <c r="G108" s="22"/>
      <c r="H108" s="10"/>
      <c r="I108" s="16"/>
    </row>
    <row r="109" spans="1:9" s="8" customFormat="1" x14ac:dyDescent="0.2">
      <c r="A109" s="10">
        <v>21677</v>
      </c>
      <c r="B109" s="11">
        <v>42720</v>
      </c>
      <c r="C109" s="12">
        <v>74.69</v>
      </c>
      <c r="D109" s="12">
        <v>5.69</v>
      </c>
      <c r="E109" s="15" t="s">
        <v>11</v>
      </c>
      <c r="H109" s="10"/>
      <c r="I109" s="16"/>
    </row>
    <row r="110" spans="1:9" s="8" customFormat="1" x14ac:dyDescent="0.2">
      <c r="A110" s="10">
        <v>21678</v>
      </c>
      <c r="B110" s="11">
        <v>42720</v>
      </c>
      <c r="C110" s="12">
        <v>161.5</v>
      </c>
      <c r="D110" s="12"/>
      <c r="E110" s="15" t="s">
        <v>82</v>
      </c>
      <c r="H110" s="10"/>
      <c r="I110" s="16"/>
    </row>
    <row r="111" spans="1:9" s="8" customFormat="1" x14ac:dyDescent="0.2">
      <c r="A111" s="10">
        <v>21679</v>
      </c>
      <c r="B111" s="11">
        <v>42720</v>
      </c>
      <c r="C111" s="12">
        <v>235.99</v>
      </c>
      <c r="D111" s="12">
        <v>17.989999999999998</v>
      </c>
      <c r="E111" s="15" t="s">
        <v>21</v>
      </c>
      <c r="H111" s="10"/>
      <c r="I111" s="16"/>
    </row>
    <row r="112" spans="1:9" s="8" customFormat="1" x14ac:dyDescent="0.2">
      <c r="A112" s="10">
        <v>21680</v>
      </c>
      <c r="B112" s="11">
        <v>42720</v>
      </c>
      <c r="C112" s="12">
        <v>75.78</v>
      </c>
      <c r="D112" s="12">
        <v>5.78</v>
      </c>
      <c r="E112" s="15" t="s">
        <v>7</v>
      </c>
      <c r="H112" s="10"/>
      <c r="I112" s="16"/>
    </row>
    <row r="113" spans="1:9" s="8" customFormat="1" x14ac:dyDescent="0.2">
      <c r="A113" s="10">
        <v>21681</v>
      </c>
      <c r="B113" s="11">
        <v>42720</v>
      </c>
      <c r="C113" s="12">
        <v>380</v>
      </c>
      <c r="D113" s="12">
        <v>28.96</v>
      </c>
      <c r="E113" s="15" t="s">
        <v>873</v>
      </c>
      <c r="F113" s="21"/>
      <c r="G113" s="22"/>
      <c r="H113" s="10"/>
      <c r="I113" s="16"/>
    </row>
    <row r="114" spans="1:9" s="8" customFormat="1" x14ac:dyDescent="0.2">
      <c r="A114" s="10">
        <v>21682</v>
      </c>
      <c r="B114" s="11">
        <v>42720</v>
      </c>
      <c r="C114" s="12">
        <v>17.32</v>
      </c>
      <c r="D114" s="12">
        <v>1.32</v>
      </c>
      <c r="E114" s="15" t="s">
        <v>11</v>
      </c>
      <c r="H114" s="10"/>
      <c r="I114" s="16"/>
    </row>
    <row r="115" spans="1:9" s="8" customFormat="1" x14ac:dyDescent="0.2">
      <c r="A115" s="10">
        <v>21683</v>
      </c>
      <c r="B115" s="11">
        <v>42720</v>
      </c>
      <c r="C115" s="12">
        <v>104.3</v>
      </c>
      <c r="D115" s="12"/>
      <c r="E115" s="15" t="s">
        <v>82</v>
      </c>
      <c r="F115" s="20">
        <f>+C112+C114</f>
        <v>93.1</v>
      </c>
      <c r="G115" s="20">
        <v>92.14</v>
      </c>
      <c r="H115" s="10"/>
      <c r="I115" s="16"/>
    </row>
    <row r="116" spans="1:9" s="8" customFormat="1" x14ac:dyDescent="0.2">
      <c r="A116" s="10">
        <v>21684</v>
      </c>
      <c r="B116" s="11">
        <v>42721</v>
      </c>
      <c r="C116" s="12">
        <v>113.66</v>
      </c>
      <c r="D116" s="12">
        <v>8.66</v>
      </c>
      <c r="E116" s="17"/>
      <c r="F116" s="18"/>
      <c r="G116" s="19"/>
      <c r="H116" s="12"/>
      <c r="I116" s="16"/>
    </row>
    <row r="117" spans="1:9" s="8" customFormat="1" x14ac:dyDescent="0.2">
      <c r="A117" s="10">
        <v>21685</v>
      </c>
      <c r="B117" s="11">
        <v>42721</v>
      </c>
      <c r="C117" s="12">
        <v>40</v>
      </c>
      <c r="D117" s="12">
        <v>3.05</v>
      </c>
      <c r="E117" s="17"/>
      <c r="H117" s="12"/>
      <c r="I117" s="16"/>
    </row>
    <row r="118" spans="1:9" s="8" customFormat="1" x14ac:dyDescent="0.2">
      <c r="A118" s="10">
        <v>21686</v>
      </c>
      <c r="B118" s="11">
        <v>42721</v>
      </c>
      <c r="C118" s="12">
        <v>9.5</v>
      </c>
      <c r="D118" s="12"/>
      <c r="E118" s="15" t="s">
        <v>82</v>
      </c>
      <c r="F118" s="21"/>
      <c r="G118" s="22"/>
      <c r="H118" s="10"/>
      <c r="I118" s="16"/>
    </row>
    <row r="119" spans="1:9" s="8" customFormat="1" x14ac:dyDescent="0.2">
      <c r="A119" s="10">
        <v>21687</v>
      </c>
      <c r="B119" s="11">
        <v>42721</v>
      </c>
      <c r="C119" s="12">
        <v>203.6</v>
      </c>
      <c r="D119" s="12"/>
      <c r="E119" s="15" t="s">
        <v>82</v>
      </c>
      <c r="H119" s="10"/>
      <c r="I119" s="16"/>
    </row>
    <row r="120" spans="1:9" s="8" customFormat="1" x14ac:dyDescent="0.2">
      <c r="A120" s="10">
        <v>21688</v>
      </c>
      <c r="B120" s="11">
        <v>42721</v>
      </c>
      <c r="C120" s="12">
        <v>41.14</v>
      </c>
      <c r="D120" s="12">
        <v>3.14</v>
      </c>
      <c r="E120" s="15" t="s">
        <v>533</v>
      </c>
      <c r="F120" s="21"/>
      <c r="G120" s="22"/>
      <c r="H120" s="10"/>
      <c r="I120" s="16"/>
    </row>
    <row r="121" spans="1:9" s="8" customFormat="1" x14ac:dyDescent="0.2">
      <c r="A121" s="10">
        <v>21689</v>
      </c>
      <c r="B121" s="11">
        <v>42721</v>
      </c>
      <c r="C121" s="12">
        <v>16.18</v>
      </c>
      <c r="D121" s="12">
        <v>1.23</v>
      </c>
      <c r="E121" s="15" t="s">
        <v>533</v>
      </c>
      <c r="I121" s="16"/>
    </row>
    <row r="122" spans="1:9" s="8" customFormat="1" x14ac:dyDescent="0.2">
      <c r="A122" s="10">
        <v>21690</v>
      </c>
      <c r="B122" s="11">
        <v>42721</v>
      </c>
      <c r="C122" s="12">
        <v>2.06</v>
      </c>
      <c r="D122" s="12">
        <v>0.16</v>
      </c>
      <c r="E122" s="15" t="s">
        <v>11</v>
      </c>
      <c r="I122" s="16"/>
    </row>
    <row r="123" spans="1:9" s="8" customFormat="1" x14ac:dyDescent="0.2">
      <c r="A123" s="10">
        <v>21691</v>
      </c>
      <c r="B123" s="11">
        <v>42721</v>
      </c>
      <c r="C123" s="12">
        <v>7.5200000000000005</v>
      </c>
      <c r="D123" s="12">
        <v>0.56999999999999995</v>
      </c>
      <c r="E123" s="15" t="s">
        <v>11</v>
      </c>
      <c r="F123" s="21"/>
      <c r="G123" s="22"/>
      <c r="H123" s="10"/>
      <c r="I123" s="16"/>
    </row>
    <row r="124" spans="1:9" s="8" customFormat="1" x14ac:dyDescent="0.2">
      <c r="A124" s="10">
        <v>21692</v>
      </c>
      <c r="B124" s="11">
        <v>42721</v>
      </c>
      <c r="C124" s="12">
        <v>48.71</v>
      </c>
      <c r="D124" s="12">
        <v>3.71</v>
      </c>
      <c r="E124" s="13"/>
      <c r="F124" s="18"/>
      <c r="G124" s="19"/>
      <c r="H124" s="12"/>
      <c r="I124" s="16"/>
    </row>
    <row r="125" spans="1:9" s="8" customFormat="1" x14ac:dyDescent="0.2">
      <c r="A125" s="10">
        <v>21693</v>
      </c>
      <c r="B125" s="11">
        <v>42721</v>
      </c>
      <c r="C125" s="12">
        <v>21.65</v>
      </c>
      <c r="D125" s="12">
        <v>1.65</v>
      </c>
      <c r="E125" s="15" t="s">
        <v>11</v>
      </c>
      <c r="I125" s="16"/>
    </row>
    <row r="126" spans="1:9" s="8" customFormat="1" x14ac:dyDescent="0.2">
      <c r="A126" s="10">
        <v>21694</v>
      </c>
      <c r="B126" s="11">
        <v>42721</v>
      </c>
      <c r="C126" s="12">
        <v>167.79</v>
      </c>
      <c r="D126" s="12">
        <v>12.79</v>
      </c>
      <c r="E126" s="15" t="s">
        <v>533</v>
      </c>
      <c r="F126" s="20">
        <f>20+213.05+C122+C123+C125+225.11</f>
        <v>489.39000000000004</v>
      </c>
      <c r="G126" s="20">
        <f>258.78+195.29</f>
        <v>454.06999999999994</v>
      </c>
      <c r="H126" s="114"/>
      <c r="I126" s="16"/>
    </row>
    <row r="127" spans="1:9" s="8" customFormat="1" x14ac:dyDescent="0.2">
      <c r="A127" s="10">
        <v>21695</v>
      </c>
      <c r="B127" s="11">
        <v>42723</v>
      </c>
      <c r="C127" s="12">
        <v>53.04</v>
      </c>
      <c r="D127" s="12">
        <v>4.04</v>
      </c>
      <c r="E127" s="15" t="s">
        <v>11</v>
      </c>
      <c r="F127" s="21"/>
      <c r="G127" s="22"/>
      <c r="H127" s="10"/>
      <c r="I127" s="16"/>
    </row>
    <row r="128" spans="1:9" s="8" customFormat="1" x14ac:dyDescent="0.2">
      <c r="A128" s="10">
        <v>21696</v>
      </c>
      <c r="B128" s="11">
        <v>42723</v>
      </c>
      <c r="C128" s="12">
        <v>117.99</v>
      </c>
      <c r="D128" s="12">
        <v>8.99</v>
      </c>
      <c r="E128" s="15" t="s">
        <v>11</v>
      </c>
      <c r="F128" s="21"/>
      <c r="G128" s="22"/>
      <c r="H128" s="10"/>
      <c r="I128" s="16"/>
    </row>
    <row r="129" spans="1:9" s="8" customFormat="1" x14ac:dyDescent="0.2">
      <c r="A129" s="10">
        <v>21697</v>
      </c>
      <c r="B129" s="11">
        <v>42723</v>
      </c>
      <c r="C129" s="12">
        <v>275.5</v>
      </c>
      <c r="D129" s="12">
        <v>21</v>
      </c>
      <c r="E129" s="15" t="s">
        <v>7</v>
      </c>
      <c r="F129" s="21"/>
      <c r="G129" s="22"/>
      <c r="H129" s="10"/>
      <c r="I129" s="16"/>
    </row>
    <row r="130" spans="1:9" s="8" customFormat="1" x14ac:dyDescent="0.2">
      <c r="A130" s="10">
        <v>21698</v>
      </c>
      <c r="B130" s="11">
        <v>42723</v>
      </c>
      <c r="C130" s="12">
        <v>20</v>
      </c>
      <c r="D130" s="12">
        <v>1.52</v>
      </c>
      <c r="E130" s="13"/>
      <c r="I130" s="16"/>
    </row>
    <row r="131" spans="1:9" s="8" customFormat="1" x14ac:dyDescent="0.2">
      <c r="A131" s="10">
        <v>21699</v>
      </c>
      <c r="B131" s="11">
        <v>42723</v>
      </c>
      <c r="C131" s="12">
        <v>122.32</v>
      </c>
      <c r="D131" s="12">
        <v>9.32</v>
      </c>
      <c r="E131" s="15" t="s">
        <v>26</v>
      </c>
      <c r="F131" s="21"/>
      <c r="G131" s="22"/>
      <c r="H131" s="10"/>
      <c r="I131" s="16"/>
    </row>
    <row r="132" spans="1:9" s="8" customFormat="1" x14ac:dyDescent="0.2">
      <c r="A132" s="10">
        <v>21700</v>
      </c>
      <c r="B132" s="11">
        <v>42723</v>
      </c>
      <c r="C132" s="12">
        <v>23.82</v>
      </c>
      <c r="D132" s="12">
        <v>1.82</v>
      </c>
      <c r="E132" s="17"/>
      <c r="I132" s="16"/>
    </row>
    <row r="133" spans="1:9" s="8" customFormat="1" x14ac:dyDescent="0.2">
      <c r="A133" s="10">
        <v>21701</v>
      </c>
      <c r="B133" s="11">
        <v>42723</v>
      </c>
      <c r="C133" s="12">
        <v>57</v>
      </c>
      <c r="D133" s="12">
        <v>4.34</v>
      </c>
      <c r="E133" s="15" t="s">
        <v>11</v>
      </c>
      <c r="F133" s="20">
        <f>+C127+C128+50+C133</f>
        <v>278.02999999999997</v>
      </c>
      <c r="G133" s="20">
        <v>275.24</v>
      </c>
      <c r="H133" s="114"/>
      <c r="I133" s="16"/>
    </row>
    <row r="134" spans="1:9" s="8" customFormat="1" x14ac:dyDescent="0.2">
      <c r="A134" s="10">
        <v>21702</v>
      </c>
      <c r="B134" s="11">
        <v>42724</v>
      </c>
      <c r="C134" s="12">
        <v>74.69</v>
      </c>
      <c r="D134" s="12">
        <v>5.69</v>
      </c>
      <c r="E134" s="17"/>
      <c r="F134" s="18"/>
      <c r="G134" s="19"/>
      <c r="H134" s="12"/>
      <c r="I134" s="16"/>
    </row>
    <row r="135" spans="1:9" s="8" customFormat="1" x14ac:dyDescent="0.2">
      <c r="A135" s="10">
        <v>21703</v>
      </c>
      <c r="B135" s="11">
        <v>42724</v>
      </c>
      <c r="C135" s="12">
        <v>46.5</v>
      </c>
      <c r="D135" s="12"/>
      <c r="E135" s="15" t="s">
        <v>417</v>
      </c>
      <c r="F135" s="21"/>
      <c r="G135" s="22"/>
      <c r="H135" s="10"/>
      <c r="I135" s="16"/>
    </row>
    <row r="136" spans="1:9" s="8" customFormat="1" x14ac:dyDescent="0.2">
      <c r="A136" s="10">
        <v>21704</v>
      </c>
      <c r="B136" s="11">
        <v>42724</v>
      </c>
      <c r="C136" s="12">
        <v>218.12</v>
      </c>
      <c r="D136" s="12">
        <v>16.62</v>
      </c>
      <c r="E136" s="15" t="s">
        <v>7</v>
      </c>
      <c r="I136" s="16"/>
    </row>
    <row r="137" spans="1:9" s="8" customFormat="1" x14ac:dyDescent="0.2">
      <c r="A137" s="10">
        <v>21705</v>
      </c>
      <c r="B137" s="11">
        <v>42724</v>
      </c>
      <c r="C137" s="12">
        <v>45</v>
      </c>
      <c r="D137" s="12">
        <v>3.43</v>
      </c>
      <c r="E137" s="15" t="s">
        <v>533</v>
      </c>
      <c r="I137" s="16"/>
    </row>
    <row r="138" spans="1:9" s="8" customFormat="1" x14ac:dyDescent="0.2">
      <c r="A138" s="10">
        <v>21706</v>
      </c>
      <c r="B138" s="11">
        <v>42724</v>
      </c>
      <c r="C138" s="12">
        <v>2</v>
      </c>
      <c r="D138" s="12">
        <v>0.16</v>
      </c>
      <c r="E138" s="17"/>
      <c r="F138" s="18"/>
      <c r="G138" s="19"/>
      <c r="H138" s="12"/>
      <c r="I138" s="16"/>
    </row>
    <row r="139" spans="1:9" s="8" customFormat="1" x14ac:dyDescent="0.2">
      <c r="A139" s="10">
        <v>21707</v>
      </c>
      <c r="B139" s="11">
        <v>42724</v>
      </c>
      <c r="C139" s="12">
        <v>116.8</v>
      </c>
      <c r="D139" s="12"/>
      <c r="E139" s="15" t="s">
        <v>82</v>
      </c>
      <c r="I139" s="16"/>
    </row>
    <row r="140" spans="1:9" s="8" customFormat="1" x14ac:dyDescent="0.2">
      <c r="A140" s="10">
        <v>21708</v>
      </c>
      <c r="B140" s="11">
        <v>42724</v>
      </c>
      <c r="C140" s="12">
        <v>119.08</v>
      </c>
      <c r="D140" s="12">
        <v>9.08</v>
      </c>
      <c r="E140" s="15" t="s">
        <v>533</v>
      </c>
      <c r="F140" s="21"/>
      <c r="G140" s="22"/>
      <c r="H140" s="10"/>
      <c r="I140" s="16"/>
    </row>
    <row r="141" spans="1:9" s="8" customFormat="1" x14ac:dyDescent="0.2">
      <c r="A141" s="10">
        <v>21709</v>
      </c>
      <c r="B141" s="11">
        <v>42724</v>
      </c>
      <c r="C141" s="12">
        <v>45</v>
      </c>
      <c r="D141" s="12"/>
      <c r="E141" s="15" t="s">
        <v>857</v>
      </c>
      <c r="F141" s="21"/>
      <c r="G141" s="22"/>
      <c r="H141" s="10"/>
      <c r="I141" s="16"/>
    </row>
    <row r="142" spans="1:9" s="8" customFormat="1" x14ac:dyDescent="0.2">
      <c r="A142" s="10">
        <v>21710</v>
      </c>
      <c r="B142" s="11">
        <v>42724</v>
      </c>
      <c r="C142" s="12">
        <v>4.33</v>
      </c>
      <c r="D142" s="12">
        <v>0.33</v>
      </c>
      <c r="E142" s="17"/>
      <c r="I142" s="16"/>
    </row>
    <row r="143" spans="1:9" s="8" customFormat="1" x14ac:dyDescent="0.2">
      <c r="A143" s="10">
        <v>21711</v>
      </c>
      <c r="B143" s="11">
        <v>42724</v>
      </c>
      <c r="C143" s="12">
        <v>251.68</v>
      </c>
      <c r="D143" s="12">
        <v>19.18</v>
      </c>
      <c r="E143" s="15" t="s">
        <v>874</v>
      </c>
      <c r="F143" s="20">
        <f>+C135+C136+689.08</f>
        <v>953.7</v>
      </c>
      <c r="G143" s="20">
        <f>258.86+598.22</f>
        <v>857.08</v>
      </c>
      <c r="H143" s="114"/>
      <c r="I143" s="16"/>
    </row>
    <row r="144" spans="1:9" s="8" customFormat="1" x14ac:dyDescent="0.2">
      <c r="A144" s="10">
        <v>21712</v>
      </c>
      <c r="B144" s="11">
        <v>42725</v>
      </c>
      <c r="C144" s="12">
        <v>10.83</v>
      </c>
      <c r="D144" s="12">
        <v>0.83</v>
      </c>
      <c r="E144" s="15" t="s">
        <v>13</v>
      </c>
      <c r="I144" s="16"/>
    </row>
    <row r="145" spans="1:28" s="241" customFormat="1" x14ac:dyDescent="0.2">
      <c r="A145" s="235">
        <v>21713</v>
      </c>
      <c r="B145" s="30">
        <v>42725</v>
      </c>
      <c r="C145" s="236">
        <v>42.22</v>
      </c>
      <c r="D145" s="236">
        <v>3.22</v>
      </c>
      <c r="E145" s="237"/>
      <c r="F145" s="238"/>
      <c r="G145" s="239"/>
      <c r="H145" s="236"/>
      <c r="I145" s="240"/>
    </row>
    <row r="146" spans="1:28" s="29" customFormat="1" ht="11.25" customHeight="1" x14ac:dyDescent="0.2">
      <c r="A146" s="242">
        <v>21714</v>
      </c>
      <c r="B146" s="243">
        <v>42725</v>
      </c>
      <c r="C146" s="244">
        <v>320</v>
      </c>
      <c r="D146" s="244">
        <v>24.39</v>
      </c>
      <c r="E146" s="245"/>
      <c r="F146" s="246"/>
      <c r="G146" s="246"/>
      <c r="H146" s="246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173"/>
      <c r="U146" s="173"/>
      <c r="V146" s="173"/>
      <c r="W146" s="173"/>
      <c r="X146" s="37"/>
      <c r="Y146" s="174"/>
      <c r="Z146" s="174"/>
      <c r="AA146" s="174"/>
      <c r="AB146" s="174"/>
    </row>
    <row r="147" spans="1:28" s="29" customFormat="1" ht="11.25" customHeight="1" x14ac:dyDescent="0.2">
      <c r="A147" s="242">
        <v>21715</v>
      </c>
      <c r="B147" s="243">
        <v>42725</v>
      </c>
      <c r="C147" s="244">
        <v>835</v>
      </c>
      <c r="D147" s="244">
        <v>63.64</v>
      </c>
      <c r="E147" s="245"/>
      <c r="F147" s="246"/>
      <c r="G147" s="246"/>
      <c r="H147" s="246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173"/>
      <c r="U147" s="173"/>
      <c r="V147" s="173"/>
      <c r="W147" s="173"/>
      <c r="X147" s="37"/>
      <c r="Y147" s="174"/>
      <c r="Z147" s="174"/>
      <c r="AA147" s="174"/>
      <c r="AB147" s="174"/>
    </row>
    <row r="148" spans="1:28" s="29" customFormat="1" ht="11.25" customHeight="1" x14ac:dyDescent="0.2">
      <c r="A148" s="242">
        <v>21716</v>
      </c>
      <c r="B148" s="243">
        <v>42725</v>
      </c>
      <c r="C148" s="244">
        <v>29.4</v>
      </c>
      <c r="D148" s="244"/>
      <c r="E148" s="247" t="s">
        <v>17</v>
      </c>
      <c r="F148" s="248"/>
      <c r="G148" s="248"/>
      <c r="H148" s="248"/>
      <c r="I148" s="24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173"/>
      <c r="U148" s="173"/>
      <c r="V148" s="173"/>
      <c r="W148" s="173"/>
      <c r="X148" s="37"/>
      <c r="Y148" s="174"/>
      <c r="Z148" s="174"/>
      <c r="AA148" s="174"/>
      <c r="AB148" s="174"/>
    </row>
    <row r="149" spans="1:28" s="29" customFormat="1" ht="11.25" customHeight="1" x14ac:dyDescent="0.2">
      <c r="A149" s="242">
        <v>21717</v>
      </c>
      <c r="B149" s="243">
        <v>42725</v>
      </c>
      <c r="C149" s="244">
        <v>100.67</v>
      </c>
      <c r="D149" s="244">
        <v>7.67</v>
      </c>
      <c r="E149" s="245"/>
      <c r="F149" s="246"/>
      <c r="G149" s="246"/>
      <c r="H149" s="246"/>
      <c r="I149" s="24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173"/>
      <c r="U149" s="173"/>
      <c r="V149" s="173"/>
      <c r="W149" s="173"/>
      <c r="X149" s="37"/>
      <c r="Y149" s="174"/>
      <c r="Z149" s="174"/>
      <c r="AA149" s="174"/>
      <c r="AB149" s="174"/>
    </row>
    <row r="150" spans="1:28" s="29" customFormat="1" ht="11.25" customHeight="1" x14ac:dyDescent="0.2">
      <c r="A150" s="249">
        <v>21718</v>
      </c>
      <c r="B150" s="250">
        <v>42725</v>
      </c>
      <c r="C150" s="251">
        <v>55</v>
      </c>
      <c r="D150" s="251">
        <v>4.1900000000000004</v>
      </c>
      <c r="E150" s="245"/>
      <c r="F150" s="246"/>
      <c r="G150" s="246"/>
      <c r="H150" s="246"/>
      <c r="I150" s="24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173"/>
      <c r="U150" s="173"/>
      <c r="V150" s="173"/>
      <c r="W150" s="173"/>
      <c r="X150" s="37"/>
      <c r="Y150" s="174"/>
      <c r="Z150" s="174"/>
      <c r="AA150" s="174"/>
      <c r="AB150" s="174"/>
    </row>
    <row r="151" spans="1:28" ht="11.25" customHeight="1" x14ac:dyDescent="0.2">
      <c r="A151" s="249">
        <v>21719</v>
      </c>
      <c r="B151" s="250">
        <v>42725</v>
      </c>
      <c r="C151" s="251">
        <v>34.64</v>
      </c>
      <c r="D151" s="251">
        <v>2.64</v>
      </c>
      <c r="E151" s="245"/>
      <c r="F151" s="20">
        <f>+C144+C148+C107+300</f>
        <v>371.62</v>
      </c>
      <c r="G151" s="20">
        <f>69.76+260.25</f>
        <v>330.01</v>
      </c>
      <c r="H151" s="114"/>
      <c r="I151" s="24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173"/>
      <c r="U151" s="173"/>
      <c r="V151" s="173"/>
      <c r="W151" s="173"/>
      <c r="X151" s="37"/>
      <c r="Y151" s="174"/>
      <c r="Z151" s="174"/>
      <c r="AA151" s="174"/>
      <c r="AB151" s="174"/>
    </row>
    <row r="152" spans="1:28" ht="11.25" customHeight="1" x14ac:dyDescent="0.2">
      <c r="A152" s="249">
        <v>21720</v>
      </c>
      <c r="B152" s="250">
        <v>42726</v>
      </c>
      <c r="C152" s="251">
        <v>21.599999999999998</v>
      </c>
      <c r="D152" s="251">
        <v>1.65</v>
      </c>
      <c r="E152" s="245"/>
      <c r="F152" s="18"/>
      <c r="G152" s="19"/>
      <c r="H152" s="12"/>
      <c r="I152" s="24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173"/>
      <c r="U152" s="173"/>
      <c r="V152" s="173"/>
      <c r="W152" s="173"/>
      <c r="X152" s="37"/>
      <c r="Y152" s="174"/>
      <c r="Z152" s="174"/>
      <c r="AA152" s="174"/>
      <c r="AB152" s="174"/>
    </row>
    <row r="153" spans="1:28" ht="11.25" customHeight="1" x14ac:dyDescent="0.2">
      <c r="A153" s="249">
        <v>21721</v>
      </c>
      <c r="B153" s="250">
        <v>42726</v>
      </c>
      <c r="C153" s="251">
        <v>8.5</v>
      </c>
      <c r="D153" s="251"/>
      <c r="E153" s="252" t="s">
        <v>427</v>
      </c>
      <c r="I153" s="24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173"/>
      <c r="U153" s="173"/>
      <c r="V153" s="173"/>
      <c r="W153" s="173"/>
      <c r="X153" s="37"/>
      <c r="Y153" s="174"/>
      <c r="Z153" s="174"/>
      <c r="AA153" s="174"/>
      <c r="AB153" s="174"/>
    </row>
    <row r="154" spans="1:28" ht="11.25" customHeight="1" x14ac:dyDescent="0.2">
      <c r="A154" s="249">
        <v>21722</v>
      </c>
      <c r="B154" s="250">
        <v>42726</v>
      </c>
      <c r="C154" s="251">
        <v>184.03</v>
      </c>
      <c r="D154" s="251">
        <v>14.03</v>
      </c>
      <c r="E154" s="247"/>
      <c r="F154" s="21"/>
      <c r="G154" s="22"/>
      <c r="H154" s="10"/>
      <c r="I154" s="24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173"/>
      <c r="U154" s="173"/>
      <c r="V154" s="173"/>
      <c r="W154" s="173"/>
      <c r="X154" s="37"/>
      <c r="Y154" s="174"/>
      <c r="Z154" s="174"/>
      <c r="AA154" s="174"/>
      <c r="AB154" s="174"/>
    </row>
    <row r="155" spans="1:28" ht="11.25" customHeight="1" x14ac:dyDescent="0.2">
      <c r="A155" s="249">
        <v>21723</v>
      </c>
      <c r="B155" s="250">
        <v>42726</v>
      </c>
      <c r="C155" s="251">
        <v>9.75</v>
      </c>
      <c r="D155" s="251">
        <v>0.74</v>
      </c>
      <c r="E155" s="245"/>
      <c r="I155" s="24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173"/>
      <c r="U155" s="173"/>
      <c r="V155" s="173"/>
      <c r="W155" s="173"/>
      <c r="X155" s="37"/>
      <c r="Y155" s="174"/>
      <c r="Z155" s="174"/>
      <c r="AA155" s="174"/>
      <c r="AB155" s="174"/>
    </row>
    <row r="156" spans="1:28" ht="11.25" customHeight="1" x14ac:dyDescent="0.2">
      <c r="A156" s="249">
        <v>21724</v>
      </c>
      <c r="B156" s="250">
        <v>42726</v>
      </c>
      <c r="C156" s="251">
        <v>20</v>
      </c>
      <c r="D156" s="251">
        <v>1.52</v>
      </c>
      <c r="E156" s="245"/>
      <c r="F156" s="18"/>
      <c r="G156" s="19"/>
      <c r="H156" s="12"/>
      <c r="I156" s="24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173"/>
      <c r="U156" s="173"/>
      <c r="V156" s="173"/>
      <c r="W156" s="173"/>
      <c r="X156" s="37"/>
      <c r="Y156" s="174"/>
      <c r="Z156" s="174"/>
      <c r="AA156" s="174"/>
      <c r="AB156" s="174"/>
    </row>
    <row r="157" spans="1:28" ht="11.25" customHeight="1" x14ac:dyDescent="0.2">
      <c r="A157" s="249">
        <v>21725</v>
      </c>
      <c r="B157" s="250">
        <v>42726</v>
      </c>
      <c r="C157" s="251">
        <v>15</v>
      </c>
      <c r="D157" s="251">
        <v>1.1399999999999999</v>
      </c>
      <c r="E157" s="247" t="s">
        <v>11</v>
      </c>
      <c r="F157" s="21"/>
      <c r="G157" s="22"/>
      <c r="H157" s="10"/>
      <c r="I157" s="24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173"/>
      <c r="U157" s="173"/>
      <c r="V157" s="173"/>
      <c r="W157" s="173"/>
      <c r="X157" s="37"/>
      <c r="Y157" s="174"/>
      <c r="Z157" s="174"/>
      <c r="AA157" s="174"/>
      <c r="AB157" s="174"/>
    </row>
    <row r="158" spans="1:28" ht="11.25" customHeight="1" x14ac:dyDescent="0.2">
      <c r="A158" s="249">
        <v>21726</v>
      </c>
      <c r="B158" s="250">
        <v>42726</v>
      </c>
      <c r="C158" s="251">
        <v>51.96</v>
      </c>
      <c r="D158" s="251">
        <v>3.96</v>
      </c>
      <c r="E158" s="247" t="s">
        <v>11</v>
      </c>
      <c r="F158" s="20">
        <f>+C157+C158</f>
        <v>66.960000000000008</v>
      </c>
      <c r="G158" s="20">
        <v>66.05</v>
      </c>
      <c r="H158" s="114"/>
      <c r="I158" s="24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173"/>
      <c r="U158" s="173"/>
      <c r="V158" s="173"/>
      <c r="W158" s="173"/>
      <c r="X158" s="37"/>
      <c r="Y158" s="174"/>
      <c r="Z158" s="174"/>
      <c r="AA158" s="174"/>
      <c r="AB158" s="174"/>
    </row>
    <row r="159" spans="1:28" ht="11.25" customHeight="1" x14ac:dyDescent="0.2">
      <c r="A159" s="249">
        <v>21727</v>
      </c>
      <c r="B159" s="250">
        <v>42727</v>
      </c>
      <c r="C159" s="251">
        <v>56.29</v>
      </c>
      <c r="D159" s="251">
        <v>4.29</v>
      </c>
      <c r="E159" s="247" t="s">
        <v>11</v>
      </c>
      <c r="F159" s="21"/>
      <c r="G159" s="22"/>
      <c r="H159" s="10"/>
      <c r="I159" s="24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173"/>
      <c r="U159" s="173"/>
      <c r="V159" s="173"/>
      <c r="W159" s="173"/>
      <c r="X159" s="37"/>
      <c r="Y159" s="174"/>
      <c r="Z159" s="174"/>
      <c r="AA159" s="174"/>
      <c r="AB159" s="174"/>
    </row>
    <row r="160" spans="1:28" ht="11.25" customHeight="1" x14ac:dyDescent="0.2">
      <c r="A160" s="249">
        <v>21728</v>
      </c>
      <c r="B160" s="250">
        <v>42727</v>
      </c>
      <c r="C160" s="251">
        <v>156</v>
      </c>
      <c r="D160" s="251">
        <v>11.89</v>
      </c>
      <c r="E160" s="252"/>
      <c r="F160" s="18"/>
      <c r="G160" s="19"/>
      <c r="H160" s="12"/>
      <c r="I160" s="24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173"/>
      <c r="U160" s="173"/>
      <c r="V160" s="173"/>
      <c r="W160" s="173"/>
      <c r="X160" s="37"/>
      <c r="Y160" s="174"/>
      <c r="Z160" s="174"/>
      <c r="AA160" s="174"/>
      <c r="AB160" s="174"/>
    </row>
    <row r="161" spans="1:28" ht="11.25" customHeight="1" x14ac:dyDescent="0.2">
      <c r="A161" s="249">
        <v>21729</v>
      </c>
      <c r="B161" s="250">
        <v>42727</v>
      </c>
      <c r="C161" s="251">
        <v>150</v>
      </c>
      <c r="D161" s="251">
        <v>11.43</v>
      </c>
      <c r="E161" s="247" t="s">
        <v>11</v>
      </c>
      <c r="F161" s="21"/>
      <c r="G161" s="22"/>
      <c r="H161" s="10"/>
      <c r="I161" s="24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173"/>
      <c r="U161" s="173"/>
      <c r="V161" s="173"/>
      <c r="W161" s="173"/>
      <c r="X161" s="37"/>
      <c r="Y161" s="174"/>
      <c r="Z161" s="174"/>
      <c r="AA161" s="174"/>
      <c r="AB161" s="174"/>
    </row>
    <row r="162" spans="1:28" ht="11.25" customHeight="1" x14ac:dyDescent="0.2">
      <c r="A162" s="249">
        <v>21730</v>
      </c>
      <c r="B162" s="250">
        <v>42727</v>
      </c>
      <c r="C162" s="251">
        <v>20.57</v>
      </c>
      <c r="D162" s="251">
        <v>1.57</v>
      </c>
      <c r="E162" s="247" t="s">
        <v>21</v>
      </c>
      <c r="I162" s="24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173"/>
      <c r="U162" s="173"/>
      <c r="V162" s="173"/>
      <c r="W162" s="173"/>
      <c r="X162" s="37"/>
      <c r="Y162" s="174"/>
      <c r="Z162" s="174"/>
      <c r="AA162" s="174"/>
      <c r="AB162" s="174"/>
    </row>
    <row r="163" spans="1:28" ht="11.25" customHeight="1" x14ac:dyDescent="0.2">
      <c r="A163" s="249">
        <v>21731</v>
      </c>
      <c r="B163" s="250">
        <v>42727</v>
      </c>
      <c r="C163" s="251">
        <v>249.62</v>
      </c>
      <c r="D163" s="251">
        <v>19.02</v>
      </c>
      <c r="E163" s="252"/>
      <c r="F163" s="18"/>
      <c r="G163" s="19"/>
      <c r="H163" s="12"/>
      <c r="I163" s="24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173"/>
      <c r="U163" s="173"/>
      <c r="V163" s="173"/>
      <c r="W163" s="173"/>
      <c r="X163" s="37"/>
      <c r="Y163" s="174"/>
      <c r="Z163" s="174"/>
      <c r="AA163" s="174"/>
      <c r="AB163" s="174"/>
    </row>
    <row r="164" spans="1:28" ht="11.25" customHeight="1" x14ac:dyDescent="0.2">
      <c r="A164" s="249">
        <v>21732</v>
      </c>
      <c r="B164" s="250">
        <v>42727</v>
      </c>
      <c r="C164" s="251">
        <v>73</v>
      </c>
      <c r="D164" s="251"/>
      <c r="E164" s="247" t="s">
        <v>253</v>
      </c>
      <c r="I164" s="24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173"/>
      <c r="U164" s="173"/>
      <c r="V164" s="173"/>
      <c r="W164" s="173"/>
      <c r="X164" s="37"/>
      <c r="Y164" s="174"/>
      <c r="Z164" s="174"/>
      <c r="AA164" s="174"/>
      <c r="AB164" s="174"/>
    </row>
    <row r="165" spans="1:28" ht="11.25" customHeight="1" x14ac:dyDescent="0.2">
      <c r="A165" s="249">
        <v>21733</v>
      </c>
      <c r="B165" s="250">
        <v>42727</v>
      </c>
      <c r="C165" s="251">
        <v>174.28</v>
      </c>
      <c r="D165" s="251">
        <v>13.28</v>
      </c>
      <c r="E165" s="247" t="s">
        <v>533</v>
      </c>
      <c r="I165" s="24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173"/>
      <c r="U165" s="173"/>
      <c r="V165" s="173"/>
      <c r="W165" s="173"/>
      <c r="X165" s="37"/>
      <c r="Y165" s="174"/>
      <c r="Z165" s="174"/>
      <c r="AA165" s="174"/>
      <c r="AB165" s="174"/>
    </row>
    <row r="166" spans="1:28" ht="11.25" customHeight="1" x14ac:dyDescent="0.2">
      <c r="A166" s="249">
        <v>21734</v>
      </c>
      <c r="B166" s="250">
        <v>42727</v>
      </c>
      <c r="C166" s="251">
        <v>116.91</v>
      </c>
      <c r="D166" s="251">
        <v>8.91</v>
      </c>
      <c r="E166" s="247" t="s">
        <v>533</v>
      </c>
      <c r="F166" s="21"/>
      <c r="G166" s="22"/>
      <c r="H166" s="10"/>
      <c r="I166" s="24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173"/>
      <c r="U166" s="173"/>
      <c r="V166" s="173"/>
      <c r="W166" s="173"/>
      <c r="X166" s="37"/>
      <c r="Y166" s="174"/>
      <c r="Z166" s="174"/>
      <c r="AA166" s="174"/>
      <c r="AB166" s="174"/>
    </row>
    <row r="167" spans="1:28" ht="11.25" customHeight="1" x14ac:dyDescent="0.2">
      <c r="A167" s="249">
        <v>21735</v>
      </c>
      <c r="B167" s="250">
        <v>42727</v>
      </c>
      <c r="C167" s="251">
        <v>10.77</v>
      </c>
      <c r="D167" s="251">
        <v>0.82</v>
      </c>
      <c r="E167" s="245"/>
      <c r="F167" s="20">
        <f>+C159+C161+400.51</f>
        <v>606.79999999999995</v>
      </c>
      <c r="G167" s="20">
        <f>204.95+347.43</f>
        <v>552.38</v>
      </c>
      <c r="H167" s="114"/>
      <c r="I167" s="24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173"/>
      <c r="U167" s="173"/>
      <c r="V167" s="173"/>
      <c r="W167" s="173"/>
      <c r="X167" s="37"/>
      <c r="Y167" s="174"/>
      <c r="Z167" s="174"/>
      <c r="AA167" s="174"/>
      <c r="AB167" s="174"/>
    </row>
    <row r="168" spans="1:28" ht="11.25" customHeight="1" x14ac:dyDescent="0.2">
      <c r="A168" s="249">
        <v>21736</v>
      </c>
      <c r="B168" s="250">
        <v>42730</v>
      </c>
      <c r="C168" s="251">
        <v>189.44</v>
      </c>
      <c r="D168" s="251">
        <v>14.44</v>
      </c>
      <c r="E168" s="247" t="s">
        <v>533</v>
      </c>
      <c r="I168" s="24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173"/>
      <c r="U168" s="173"/>
      <c r="V168" s="173"/>
      <c r="W168" s="173"/>
      <c r="X168" s="37"/>
      <c r="Y168" s="174"/>
      <c r="Z168" s="174"/>
      <c r="AA168" s="174"/>
      <c r="AB168" s="174"/>
    </row>
    <row r="169" spans="1:28" ht="11.25" customHeight="1" x14ac:dyDescent="0.2">
      <c r="A169" s="249">
        <v>21737</v>
      </c>
      <c r="B169" s="250">
        <v>42730</v>
      </c>
      <c r="C169" s="251">
        <v>333.52000000000004</v>
      </c>
      <c r="D169" s="251">
        <v>25.42</v>
      </c>
      <c r="E169" s="247"/>
      <c r="I169" s="24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173"/>
      <c r="U169" s="173"/>
      <c r="V169" s="173"/>
      <c r="W169" s="173"/>
      <c r="X169" s="37"/>
      <c r="Y169" s="174"/>
      <c r="Z169" s="174"/>
      <c r="AA169" s="174"/>
      <c r="AB169" s="174"/>
    </row>
    <row r="170" spans="1:28" ht="11.25" customHeight="1" x14ac:dyDescent="0.2">
      <c r="A170" s="249">
        <v>21738</v>
      </c>
      <c r="B170" s="250">
        <v>42730</v>
      </c>
      <c r="C170" s="251">
        <v>128.82</v>
      </c>
      <c r="D170" s="251">
        <v>9.82</v>
      </c>
      <c r="E170" s="247" t="s">
        <v>533</v>
      </c>
      <c r="F170" s="21"/>
      <c r="G170" s="22"/>
      <c r="H170" s="10"/>
      <c r="I170" s="24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173"/>
      <c r="U170" s="173"/>
      <c r="V170" s="173"/>
      <c r="W170" s="173"/>
      <c r="X170" s="37"/>
      <c r="Y170" s="174"/>
      <c r="Z170" s="174"/>
      <c r="AA170" s="174"/>
      <c r="AB170" s="174"/>
    </row>
    <row r="171" spans="1:28" ht="11.25" customHeight="1" x14ac:dyDescent="0.2">
      <c r="A171" s="249">
        <v>21739</v>
      </c>
      <c r="B171" s="250">
        <v>42730</v>
      </c>
      <c r="C171" s="251">
        <v>96.34</v>
      </c>
      <c r="D171" s="251">
        <v>7.34</v>
      </c>
      <c r="E171" s="245"/>
      <c r="I171" s="24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173"/>
      <c r="U171" s="173"/>
      <c r="V171" s="173"/>
      <c r="W171" s="173"/>
      <c r="X171" s="37"/>
      <c r="Y171" s="174"/>
      <c r="Z171" s="174"/>
      <c r="AA171" s="174"/>
      <c r="AB171" s="174"/>
    </row>
    <row r="172" spans="1:28" ht="11.25" customHeight="1" x14ac:dyDescent="0.2">
      <c r="A172" s="249">
        <v>21740</v>
      </c>
      <c r="B172" s="250">
        <v>42730</v>
      </c>
      <c r="C172" s="251">
        <v>208.32999999999998</v>
      </c>
      <c r="D172" s="251">
        <v>15.88</v>
      </c>
      <c r="E172" s="247" t="s">
        <v>533</v>
      </c>
      <c r="F172" s="21"/>
      <c r="G172" s="22"/>
      <c r="H172" s="10"/>
      <c r="I172" s="24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173"/>
      <c r="U172" s="173"/>
      <c r="V172" s="173"/>
      <c r="W172" s="173"/>
      <c r="X172" s="37"/>
      <c r="Y172" s="174"/>
      <c r="Z172" s="174"/>
      <c r="AA172" s="174"/>
      <c r="AB172" s="174"/>
    </row>
    <row r="173" spans="1:28" ht="11.25" customHeight="1" x14ac:dyDescent="0.2">
      <c r="A173" s="249">
        <v>21741</v>
      </c>
      <c r="B173" s="250">
        <v>42730</v>
      </c>
      <c r="C173" s="251">
        <v>97.320000000000007</v>
      </c>
      <c r="D173" s="251">
        <v>7.42</v>
      </c>
      <c r="E173" s="247" t="s">
        <v>533</v>
      </c>
      <c r="I173" s="24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173"/>
      <c r="U173" s="173"/>
      <c r="V173" s="173"/>
      <c r="W173" s="173"/>
      <c r="X173" s="37"/>
      <c r="Y173" s="174"/>
      <c r="Z173" s="174"/>
      <c r="AA173" s="174"/>
      <c r="AB173" s="174"/>
    </row>
    <row r="174" spans="1:28" ht="11.25" customHeight="1" x14ac:dyDescent="0.2">
      <c r="A174" s="249">
        <v>21742</v>
      </c>
      <c r="B174" s="250">
        <v>42730</v>
      </c>
      <c r="C174" s="251">
        <v>290</v>
      </c>
      <c r="D174" s="251">
        <v>22.1</v>
      </c>
      <c r="E174" s="247" t="s">
        <v>875</v>
      </c>
      <c r="I174" s="24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173"/>
      <c r="U174" s="173"/>
      <c r="V174" s="173"/>
      <c r="W174" s="173"/>
      <c r="X174" s="37"/>
      <c r="Y174" s="174"/>
      <c r="Z174" s="174"/>
      <c r="AA174" s="174"/>
      <c r="AB174" s="174"/>
    </row>
    <row r="175" spans="1:28" ht="11.25" customHeight="1" x14ac:dyDescent="0.2">
      <c r="A175" s="249">
        <v>21743</v>
      </c>
      <c r="B175" s="250">
        <v>42730</v>
      </c>
      <c r="C175" s="251">
        <v>70.36</v>
      </c>
      <c r="D175" s="251">
        <v>5.36</v>
      </c>
      <c r="E175" s="245"/>
      <c r="F175" s="18"/>
      <c r="G175" s="19"/>
      <c r="H175" s="12"/>
      <c r="I175" s="24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173"/>
      <c r="U175" s="173"/>
      <c r="V175" s="173"/>
      <c r="W175" s="173"/>
      <c r="X175" s="37"/>
      <c r="Y175" s="174"/>
      <c r="Z175" s="174"/>
      <c r="AA175" s="174"/>
      <c r="AB175" s="174"/>
    </row>
    <row r="176" spans="1:28" ht="11.25" customHeight="1" x14ac:dyDescent="0.2">
      <c r="A176" s="249">
        <v>21744</v>
      </c>
      <c r="B176" s="250">
        <v>42730</v>
      </c>
      <c r="C176" s="251">
        <v>82</v>
      </c>
      <c r="D176" s="251">
        <v>6.25</v>
      </c>
      <c r="E176" s="247" t="s">
        <v>533</v>
      </c>
      <c r="I176" s="24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173"/>
      <c r="U176" s="173"/>
      <c r="V176" s="173"/>
      <c r="W176" s="173"/>
      <c r="X176" s="37"/>
      <c r="Y176" s="174"/>
      <c r="Z176" s="174"/>
      <c r="AA176" s="174"/>
      <c r="AB176" s="174"/>
    </row>
    <row r="177" spans="1:28" ht="11.25" customHeight="1" x14ac:dyDescent="0.2">
      <c r="A177" s="249">
        <v>21745</v>
      </c>
      <c r="B177" s="250">
        <v>42730</v>
      </c>
      <c r="C177" s="251">
        <v>132.70999999999998</v>
      </c>
      <c r="D177" s="251">
        <v>10.11</v>
      </c>
      <c r="E177" s="247" t="s">
        <v>7</v>
      </c>
      <c r="I177" s="24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173"/>
      <c r="U177" s="173"/>
      <c r="V177" s="173"/>
      <c r="W177" s="173"/>
      <c r="X177" s="37"/>
      <c r="Y177" s="174"/>
      <c r="Z177" s="174"/>
      <c r="AA177" s="174"/>
      <c r="AB177" s="174"/>
    </row>
    <row r="178" spans="1:28" ht="11.25" customHeight="1" x14ac:dyDescent="0.2">
      <c r="A178" s="249">
        <v>21746</v>
      </c>
      <c r="B178" s="250">
        <v>42730</v>
      </c>
      <c r="C178" s="251">
        <v>28.15</v>
      </c>
      <c r="D178" s="251">
        <v>2.15</v>
      </c>
      <c r="E178" s="245"/>
      <c r="I178" s="24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173"/>
      <c r="U178" s="173"/>
      <c r="V178" s="173"/>
      <c r="W178" s="173"/>
      <c r="X178" s="37"/>
      <c r="Y178" s="174"/>
      <c r="Z178" s="174"/>
      <c r="AA178" s="174"/>
      <c r="AB178" s="174"/>
    </row>
    <row r="179" spans="1:28" ht="11.25" customHeight="1" x14ac:dyDescent="0.2">
      <c r="A179" s="249">
        <v>21747</v>
      </c>
      <c r="B179" s="250">
        <v>42730</v>
      </c>
      <c r="C179" s="251">
        <v>43.3</v>
      </c>
      <c r="D179" s="251">
        <v>3.3</v>
      </c>
      <c r="E179" s="247" t="s">
        <v>21</v>
      </c>
      <c r="F179" s="20">
        <f>100+C177+705.91</f>
        <v>938.61999999999989</v>
      </c>
      <c r="G179" s="20">
        <f>230.02+612.37</f>
        <v>842.39</v>
      </c>
      <c r="H179" s="114"/>
      <c r="I179" s="24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173"/>
      <c r="U179" s="173"/>
      <c r="V179" s="173"/>
      <c r="W179" s="173"/>
      <c r="X179" s="37"/>
      <c r="Y179" s="174"/>
      <c r="Z179" s="174"/>
      <c r="AA179" s="174"/>
      <c r="AB179" s="174"/>
    </row>
    <row r="180" spans="1:28" ht="11.25" customHeight="1" x14ac:dyDescent="0.2">
      <c r="A180" s="249">
        <v>21748</v>
      </c>
      <c r="B180" s="250">
        <v>42731</v>
      </c>
      <c r="C180" s="251">
        <v>297.42</v>
      </c>
      <c r="D180" s="251">
        <v>22.67</v>
      </c>
      <c r="E180" s="247"/>
      <c r="F180" s="21"/>
      <c r="G180" s="22"/>
      <c r="H180" s="10"/>
      <c r="I180" s="24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173"/>
      <c r="U180" s="173"/>
      <c r="V180" s="173"/>
      <c r="W180" s="173"/>
      <c r="X180" s="37"/>
      <c r="Y180" s="174"/>
      <c r="Z180" s="174"/>
      <c r="AA180" s="174"/>
      <c r="AB180" s="174"/>
    </row>
    <row r="181" spans="1:28" ht="11.25" customHeight="1" x14ac:dyDescent="0.2">
      <c r="A181" s="249">
        <v>21749</v>
      </c>
      <c r="B181" s="250">
        <v>42731</v>
      </c>
      <c r="C181" s="251">
        <v>12.94</v>
      </c>
      <c r="D181" s="251">
        <v>0.99</v>
      </c>
      <c r="E181" s="252"/>
      <c r="F181" s="18"/>
      <c r="G181" s="19"/>
      <c r="H181" s="12"/>
      <c r="I181" s="24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173"/>
      <c r="U181" s="173"/>
      <c r="V181" s="173"/>
      <c r="W181" s="173"/>
      <c r="X181" s="37"/>
      <c r="Y181" s="174"/>
      <c r="Z181" s="174"/>
      <c r="AA181" s="174"/>
      <c r="AB181" s="174"/>
    </row>
    <row r="182" spans="1:28" ht="11.25" customHeight="1" x14ac:dyDescent="0.2">
      <c r="A182" s="249">
        <v>21750</v>
      </c>
      <c r="B182" s="250">
        <v>42731</v>
      </c>
      <c r="C182" s="251">
        <v>199</v>
      </c>
      <c r="D182" s="251"/>
      <c r="E182" s="247" t="s">
        <v>82</v>
      </c>
      <c r="F182" s="21"/>
      <c r="G182" s="22"/>
      <c r="H182" s="10"/>
      <c r="I182" s="24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173"/>
      <c r="U182" s="173"/>
      <c r="V182" s="173"/>
      <c r="W182" s="173"/>
      <c r="X182" s="37"/>
      <c r="Y182" s="174"/>
      <c r="Z182" s="174"/>
      <c r="AA182" s="174"/>
      <c r="AB182" s="174"/>
    </row>
    <row r="183" spans="1:28" ht="11.25" customHeight="1" x14ac:dyDescent="0.2">
      <c r="A183" s="249">
        <v>21751</v>
      </c>
      <c r="B183" s="250">
        <v>42731</v>
      </c>
      <c r="C183" s="251">
        <v>9.4700000000000006</v>
      </c>
      <c r="D183" s="251">
        <v>0.72</v>
      </c>
      <c r="E183" s="252"/>
      <c r="F183" s="18"/>
      <c r="G183" s="19"/>
      <c r="H183" s="12"/>
      <c r="I183" s="24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173"/>
      <c r="U183" s="173"/>
      <c r="V183" s="173"/>
      <c r="W183" s="173"/>
      <c r="X183" s="37"/>
      <c r="Y183" s="174"/>
      <c r="Z183" s="174"/>
      <c r="AA183" s="174"/>
      <c r="AB183" s="174"/>
    </row>
    <row r="184" spans="1:28" ht="11.25" customHeight="1" x14ac:dyDescent="0.2">
      <c r="A184" s="249">
        <v>21752</v>
      </c>
      <c r="B184" s="250">
        <v>42731</v>
      </c>
      <c r="C184" s="251">
        <v>60</v>
      </c>
      <c r="D184" s="251">
        <v>4.57</v>
      </c>
      <c r="E184" s="252"/>
      <c r="F184" s="18"/>
      <c r="G184" s="19"/>
      <c r="H184" s="12"/>
      <c r="I184" s="24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173"/>
      <c r="U184" s="173"/>
      <c r="V184" s="173"/>
      <c r="W184" s="173"/>
      <c r="X184" s="37"/>
      <c r="Y184" s="174"/>
      <c r="Z184" s="174"/>
      <c r="AA184" s="174"/>
      <c r="AB184" s="174"/>
    </row>
    <row r="185" spans="1:28" ht="11.25" customHeight="1" x14ac:dyDescent="0.2">
      <c r="A185" s="249">
        <v>21753</v>
      </c>
      <c r="B185" s="250">
        <v>42731</v>
      </c>
      <c r="C185" s="251">
        <v>157.19999999999999</v>
      </c>
      <c r="D185" s="251"/>
      <c r="E185" s="247" t="s">
        <v>253</v>
      </c>
      <c r="H185" s="10"/>
      <c r="I185" s="24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173"/>
      <c r="U185" s="173"/>
      <c r="V185" s="173"/>
      <c r="W185" s="173"/>
      <c r="X185" s="37"/>
      <c r="Y185" s="174"/>
      <c r="Z185" s="174"/>
      <c r="AA185" s="174"/>
      <c r="AB185" s="174"/>
    </row>
    <row r="186" spans="1:28" ht="11.25" customHeight="1" x14ac:dyDescent="0.2">
      <c r="A186" s="249">
        <v>21754</v>
      </c>
      <c r="B186" s="250">
        <v>42731</v>
      </c>
      <c r="C186" s="251">
        <v>100.67</v>
      </c>
      <c r="D186" s="251">
        <v>7.67</v>
      </c>
      <c r="E186" s="247" t="s">
        <v>11</v>
      </c>
      <c r="F186" s="21"/>
      <c r="G186" s="22"/>
      <c r="H186" s="10"/>
      <c r="I186" s="24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173"/>
      <c r="U186" s="173"/>
      <c r="V186" s="173"/>
      <c r="W186" s="173"/>
      <c r="X186" s="37"/>
      <c r="Y186" s="174"/>
      <c r="Z186" s="174"/>
      <c r="AA186" s="174"/>
      <c r="AB186" s="174"/>
    </row>
    <row r="187" spans="1:28" ht="11.25" customHeight="1" x14ac:dyDescent="0.2">
      <c r="A187" s="249">
        <v>21755</v>
      </c>
      <c r="B187" s="250">
        <v>42731</v>
      </c>
      <c r="C187" s="251">
        <v>135.26</v>
      </c>
      <c r="D187" s="251">
        <v>10.31</v>
      </c>
      <c r="E187" s="247" t="s">
        <v>11</v>
      </c>
      <c r="F187" s="20">
        <f>+C186+C187+48.71</f>
        <v>284.64</v>
      </c>
      <c r="G187" s="20">
        <v>283.02999999999997</v>
      </c>
      <c r="H187" s="10"/>
      <c r="I187" s="24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173"/>
      <c r="U187" s="173"/>
      <c r="V187" s="173"/>
      <c r="W187" s="173"/>
      <c r="X187" s="37"/>
      <c r="Y187" s="174"/>
      <c r="Z187" s="174"/>
      <c r="AA187" s="174"/>
      <c r="AB187" s="174"/>
    </row>
    <row r="188" spans="1:28" ht="11.25" customHeight="1" x14ac:dyDescent="0.2">
      <c r="A188" s="249">
        <v>21756</v>
      </c>
      <c r="B188" s="250">
        <v>42732</v>
      </c>
      <c r="C188" s="251">
        <v>433</v>
      </c>
      <c r="D188" s="251">
        <v>33</v>
      </c>
      <c r="E188" s="247" t="s">
        <v>11</v>
      </c>
      <c r="H188" s="10"/>
      <c r="I188" s="24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173"/>
      <c r="U188" s="173"/>
      <c r="V188" s="173"/>
      <c r="W188" s="173"/>
      <c r="X188" s="37"/>
      <c r="Y188" s="174"/>
      <c r="Z188" s="174"/>
      <c r="AA188" s="174"/>
      <c r="AB188" s="174"/>
    </row>
    <row r="189" spans="1:28" ht="11.25" customHeight="1" x14ac:dyDescent="0.2">
      <c r="A189" s="249">
        <v>21757</v>
      </c>
      <c r="B189" s="250">
        <v>42732</v>
      </c>
      <c r="C189" s="251">
        <v>165.08</v>
      </c>
      <c r="D189" s="251">
        <v>12.58</v>
      </c>
      <c r="E189" s="247" t="s">
        <v>11</v>
      </c>
      <c r="H189" s="10"/>
      <c r="I189" s="24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173"/>
      <c r="U189" s="173"/>
      <c r="V189" s="173"/>
      <c r="W189" s="173"/>
      <c r="X189" s="37"/>
      <c r="Y189" s="174"/>
      <c r="Z189" s="174"/>
      <c r="AA189" s="174"/>
      <c r="AB189" s="174"/>
    </row>
    <row r="190" spans="1:28" ht="11.25" customHeight="1" x14ac:dyDescent="0.2">
      <c r="A190" s="249">
        <v>21758</v>
      </c>
      <c r="B190" s="250">
        <v>42732</v>
      </c>
      <c r="C190" s="251">
        <v>29.23</v>
      </c>
      <c r="D190" s="251">
        <v>2.23</v>
      </c>
      <c r="E190" s="247" t="s">
        <v>11</v>
      </c>
      <c r="F190" s="21"/>
      <c r="G190" s="22"/>
      <c r="H190" s="10"/>
      <c r="I190" s="24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173"/>
      <c r="U190" s="173"/>
      <c r="V190" s="173"/>
      <c r="W190" s="173"/>
      <c r="X190" s="37"/>
      <c r="Y190" s="174"/>
      <c r="Z190" s="174"/>
      <c r="AA190" s="174"/>
      <c r="AB190" s="174"/>
    </row>
    <row r="191" spans="1:28" ht="11.25" customHeight="1" x14ac:dyDescent="0.2">
      <c r="A191" s="249">
        <v>21759</v>
      </c>
      <c r="B191" s="250">
        <v>42732</v>
      </c>
      <c r="C191" s="251">
        <v>169.41</v>
      </c>
      <c r="D191" s="251">
        <v>12.91</v>
      </c>
      <c r="E191" s="245"/>
      <c r="F191" s="18"/>
      <c r="G191" s="19"/>
      <c r="H191" s="12"/>
      <c r="I191" s="24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173"/>
      <c r="U191" s="173"/>
      <c r="V191" s="173"/>
      <c r="W191" s="173"/>
      <c r="X191" s="37"/>
      <c r="Y191" s="174"/>
      <c r="Z191" s="174"/>
      <c r="AA191" s="174"/>
      <c r="AB191" s="174"/>
    </row>
    <row r="192" spans="1:28" ht="11.25" customHeight="1" x14ac:dyDescent="0.2">
      <c r="A192" s="249">
        <v>21760</v>
      </c>
      <c r="B192" s="250">
        <v>42732</v>
      </c>
      <c r="C192" s="251">
        <v>359.39</v>
      </c>
      <c r="D192" s="251">
        <v>27.39</v>
      </c>
      <c r="E192" s="245"/>
      <c r="F192" s="18"/>
      <c r="G192" s="19"/>
      <c r="H192" s="12"/>
      <c r="I192" s="24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173"/>
      <c r="U192" s="173"/>
      <c r="V192" s="173"/>
      <c r="W192" s="173"/>
      <c r="X192" s="37"/>
      <c r="Y192" s="174"/>
      <c r="Z192" s="174"/>
      <c r="AA192" s="174"/>
      <c r="AB192" s="174"/>
    </row>
    <row r="193" spans="1:28" ht="11.25" customHeight="1" x14ac:dyDescent="0.2">
      <c r="A193" s="249">
        <v>21761</v>
      </c>
      <c r="B193" s="250">
        <v>42732</v>
      </c>
      <c r="C193" s="251">
        <v>124.996275</v>
      </c>
      <c r="D193" s="251">
        <v>9.526275</v>
      </c>
      <c r="E193" s="245"/>
      <c r="H193" s="12"/>
      <c r="I193" s="24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173"/>
      <c r="U193" s="173"/>
      <c r="V193" s="173"/>
      <c r="W193" s="173"/>
      <c r="X193" s="37"/>
      <c r="Y193" s="174"/>
      <c r="Z193" s="174"/>
      <c r="AA193" s="174"/>
      <c r="AB193" s="174"/>
    </row>
    <row r="194" spans="1:28" ht="11.25" customHeight="1" x14ac:dyDescent="0.2">
      <c r="A194" s="249">
        <v>21762</v>
      </c>
      <c r="B194" s="250">
        <v>42732</v>
      </c>
      <c r="C194" s="251">
        <v>10</v>
      </c>
      <c r="D194" s="251">
        <v>0.76</v>
      </c>
      <c r="E194" s="247" t="s">
        <v>11</v>
      </c>
      <c r="H194" s="10"/>
      <c r="I194" s="24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173"/>
      <c r="U194" s="173"/>
      <c r="V194" s="173"/>
      <c r="W194" s="173"/>
      <c r="X194" s="37"/>
      <c r="Y194" s="174"/>
      <c r="Z194" s="174"/>
      <c r="AA194" s="174"/>
      <c r="AB194" s="174"/>
    </row>
    <row r="195" spans="1:28" ht="11.25" customHeight="1" x14ac:dyDescent="0.2">
      <c r="A195" s="249">
        <v>21763</v>
      </c>
      <c r="B195" s="250">
        <v>42732</v>
      </c>
      <c r="C195" s="251">
        <v>139.63999999999999</v>
      </c>
      <c r="D195" s="251">
        <v>10.64</v>
      </c>
      <c r="E195" s="247" t="s">
        <v>876</v>
      </c>
      <c r="F195" s="21"/>
      <c r="G195" s="22"/>
      <c r="H195" s="10"/>
      <c r="I195" s="24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173"/>
      <c r="U195" s="173"/>
      <c r="V195" s="173"/>
      <c r="W195" s="173"/>
      <c r="X195" s="37"/>
      <c r="Y195" s="174"/>
      <c r="Z195" s="174"/>
      <c r="AA195" s="174"/>
      <c r="AB195" s="174"/>
    </row>
    <row r="196" spans="1:28" ht="11.25" customHeight="1" x14ac:dyDescent="0.2">
      <c r="A196" s="249">
        <v>21764</v>
      </c>
      <c r="B196" s="250">
        <v>42732</v>
      </c>
      <c r="C196" s="251">
        <v>140</v>
      </c>
      <c r="D196" s="251">
        <v>10.67</v>
      </c>
      <c r="E196" s="245"/>
      <c r="F196" s="18"/>
      <c r="G196" s="19"/>
      <c r="H196" s="12"/>
      <c r="I196" s="24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173"/>
      <c r="U196" s="173"/>
      <c r="V196" s="173"/>
      <c r="W196" s="173"/>
      <c r="X196" s="37"/>
      <c r="Y196" s="174"/>
      <c r="Z196" s="174"/>
      <c r="AA196" s="174"/>
      <c r="AB196" s="174"/>
    </row>
    <row r="197" spans="1:28" ht="11.25" customHeight="1" x14ac:dyDescent="0.2">
      <c r="A197" s="249">
        <v>21765</v>
      </c>
      <c r="B197" s="250">
        <v>42732</v>
      </c>
      <c r="C197" s="251">
        <v>100.00135</v>
      </c>
      <c r="D197" s="251">
        <v>7.6213499999999996</v>
      </c>
      <c r="E197" s="245"/>
      <c r="I197" s="24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173"/>
      <c r="U197" s="173"/>
      <c r="V197" s="173"/>
      <c r="W197" s="173"/>
      <c r="X197" s="37"/>
      <c r="Y197" s="174"/>
      <c r="Z197" s="174"/>
      <c r="AA197" s="174"/>
      <c r="AB197" s="174"/>
    </row>
    <row r="198" spans="1:28" ht="11.25" customHeight="1" x14ac:dyDescent="0.2">
      <c r="A198" s="249">
        <v>21766</v>
      </c>
      <c r="B198" s="250">
        <v>42732</v>
      </c>
      <c r="C198" s="251">
        <v>167.88</v>
      </c>
      <c r="D198" s="251"/>
      <c r="E198" s="247" t="s">
        <v>82</v>
      </c>
      <c r="F198" s="20">
        <f>+C188+C189+C190+C194+200</f>
        <v>837.31000000000006</v>
      </c>
      <c r="G198" s="20">
        <f>630.36+173.5</f>
        <v>803.86</v>
      </c>
      <c r="H198" s="161"/>
      <c r="I198" s="24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173"/>
      <c r="U198" s="173"/>
      <c r="V198" s="173"/>
      <c r="W198" s="173"/>
      <c r="X198" s="37"/>
      <c r="Y198" s="174"/>
      <c r="Z198" s="174"/>
      <c r="AA198" s="174"/>
      <c r="AB198" s="174"/>
    </row>
    <row r="199" spans="1:28" ht="11.25" customHeight="1" x14ac:dyDescent="0.2">
      <c r="A199" s="249">
        <v>21767</v>
      </c>
      <c r="B199" s="250">
        <v>42733</v>
      </c>
      <c r="C199" s="251">
        <v>21.65</v>
      </c>
      <c r="D199" s="251">
        <v>1.65</v>
      </c>
      <c r="E199" s="245"/>
      <c r="F199" s="18"/>
      <c r="G199" s="19"/>
      <c r="H199" s="12"/>
      <c r="I199" s="24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173"/>
      <c r="U199" s="173"/>
      <c r="V199" s="173"/>
      <c r="W199" s="173"/>
      <c r="X199" s="37"/>
      <c r="Y199" s="174"/>
      <c r="Z199" s="174"/>
      <c r="AA199" s="174"/>
      <c r="AB199" s="174"/>
    </row>
    <row r="200" spans="1:28" ht="11.25" customHeight="1" x14ac:dyDescent="0.2">
      <c r="A200" s="249">
        <v>21768</v>
      </c>
      <c r="B200" s="250">
        <v>42733</v>
      </c>
      <c r="C200" s="251">
        <v>299.85000000000002</v>
      </c>
      <c r="D200" s="251">
        <v>22.85</v>
      </c>
      <c r="E200" s="247" t="s">
        <v>877</v>
      </c>
      <c r="F200" s="21"/>
      <c r="G200" s="22"/>
      <c r="H200" s="10"/>
      <c r="I200" s="24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173"/>
      <c r="U200" s="173"/>
      <c r="V200" s="173"/>
      <c r="W200" s="173"/>
      <c r="X200" s="37"/>
      <c r="Y200" s="174"/>
      <c r="Z200" s="174"/>
      <c r="AA200" s="174"/>
      <c r="AB200" s="174"/>
    </row>
    <row r="201" spans="1:28" ht="11.25" customHeight="1" x14ac:dyDescent="0.2">
      <c r="A201" s="249">
        <v>21769</v>
      </c>
      <c r="B201" s="250">
        <v>42733</v>
      </c>
      <c r="C201" s="251">
        <v>116.91</v>
      </c>
      <c r="D201" s="251">
        <v>8.91</v>
      </c>
      <c r="E201" s="247" t="s">
        <v>877</v>
      </c>
      <c r="H201" s="10"/>
      <c r="I201" s="24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173"/>
      <c r="U201" s="173"/>
      <c r="V201" s="173"/>
      <c r="W201" s="173"/>
      <c r="X201" s="37"/>
      <c r="Y201" s="174"/>
      <c r="Z201" s="174"/>
      <c r="AA201" s="174"/>
      <c r="AB201" s="174"/>
    </row>
    <row r="202" spans="1:28" ht="11.25" customHeight="1" x14ac:dyDescent="0.2">
      <c r="A202" s="249">
        <v>21770</v>
      </c>
      <c r="B202" s="250">
        <v>42733</v>
      </c>
      <c r="C202" s="251">
        <v>1550</v>
      </c>
      <c r="D202" s="251">
        <v>118.13</v>
      </c>
      <c r="E202" s="247" t="s">
        <v>878</v>
      </c>
      <c r="H202" s="10"/>
      <c r="I202" s="24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173"/>
      <c r="U202" s="173"/>
      <c r="V202" s="173"/>
      <c r="W202" s="173"/>
      <c r="X202" s="37"/>
      <c r="Y202" s="174"/>
      <c r="Z202" s="174"/>
      <c r="AA202" s="174"/>
      <c r="AB202" s="174"/>
    </row>
    <row r="203" spans="1:28" ht="11.25" customHeight="1" x14ac:dyDescent="0.2">
      <c r="A203" s="249">
        <v>21771</v>
      </c>
      <c r="B203" s="250">
        <v>42733</v>
      </c>
      <c r="C203" s="251">
        <v>-782.65</v>
      </c>
      <c r="D203" s="251">
        <v>-59.65</v>
      </c>
      <c r="E203" s="247" t="s">
        <v>879</v>
      </c>
      <c r="H203" s="10"/>
      <c r="I203" s="24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173"/>
      <c r="U203" s="173"/>
      <c r="V203" s="173"/>
      <c r="W203" s="173"/>
      <c r="X203" s="37"/>
      <c r="Y203" s="174"/>
      <c r="Z203" s="174"/>
      <c r="AA203" s="174"/>
      <c r="AB203" s="174"/>
    </row>
    <row r="204" spans="1:28" ht="11.25" customHeight="1" x14ac:dyDescent="0.2">
      <c r="A204" s="249">
        <v>21772</v>
      </c>
      <c r="B204" s="250">
        <v>42733</v>
      </c>
      <c r="C204" s="251">
        <v>139</v>
      </c>
      <c r="D204" s="251">
        <v>10.59</v>
      </c>
      <c r="E204" s="247" t="s">
        <v>533</v>
      </c>
      <c r="F204" s="21"/>
      <c r="G204" s="22"/>
      <c r="H204" s="10"/>
      <c r="I204" s="24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173"/>
      <c r="U204" s="173"/>
      <c r="V204" s="173"/>
      <c r="W204" s="173"/>
      <c r="X204" s="37"/>
      <c r="Y204" s="174"/>
      <c r="Z204" s="174"/>
      <c r="AA204" s="174"/>
      <c r="AB204" s="174"/>
    </row>
    <row r="205" spans="1:28" ht="11.25" customHeight="1" x14ac:dyDescent="0.2">
      <c r="A205" s="249">
        <v>21773</v>
      </c>
      <c r="B205" s="250">
        <v>42733</v>
      </c>
      <c r="C205" s="251">
        <v>11.91</v>
      </c>
      <c r="D205" s="251">
        <v>0.91</v>
      </c>
      <c r="E205" s="245"/>
      <c r="I205" s="24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173"/>
      <c r="U205" s="173"/>
      <c r="V205" s="173"/>
      <c r="W205" s="173"/>
      <c r="X205" s="37"/>
      <c r="Y205" s="174"/>
      <c r="Z205" s="174"/>
      <c r="AA205" s="174"/>
      <c r="AB205" s="174"/>
    </row>
    <row r="206" spans="1:28" ht="11.25" customHeight="1" x14ac:dyDescent="0.2">
      <c r="A206" s="249">
        <v>21774</v>
      </c>
      <c r="B206" s="250">
        <v>42733</v>
      </c>
      <c r="C206" s="251">
        <v>14</v>
      </c>
      <c r="D206" s="251">
        <v>1.07</v>
      </c>
      <c r="E206" s="247" t="s">
        <v>11</v>
      </c>
      <c r="I206" s="24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173"/>
      <c r="U206" s="173"/>
      <c r="V206" s="173"/>
      <c r="W206" s="173"/>
      <c r="X206" s="37"/>
      <c r="Y206" s="174"/>
      <c r="Z206" s="174"/>
      <c r="AA206" s="174"/>
      <c r="AB206" s="174"/>
    </row>
    <row r="207" spans="1:28" ht="11.25" customHeight="1" x14ac:dyDescent="0.2">
      <c r="A207" s="249">
        <v>21775</v>
      </c>
      <c r="B207" s="250">
        <v>42733</v>
      </c>
      <c r="C207" s="251">
        <v>37.89</v>
      </c>
      <c r="D207" s="251">
        <v>2.89</v>
      </c>
      <c r="E207" s="247" t="s">
        <v>533</v>
      </c>
      <c r="F207" s="21"/>
      <c r="G207" s="22"/>
      <c r="H207" s="10"/>
      <c r="I207" s="24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173"/>
      <c r="U207" s="173"/>
      <c r="V207" s="173"/>
      <c r="W207" s="173"/>
      <c r="X207" s="37"/>
      <c r="Y207" s="174"/>
      <c r="Z207" s="174"/>
      <c r="AA207" s="174"/>
      <c r="AB207" s="174"/>
    </row>
    <row r="208" spans="1:28" ht="11.25" customHeight="1" x14ac:dyDescent="0.2">
      <c r="A208" s="249">
        <v>21776</v>
      </c>
      <c r="B208" s="250">
        <v>42733</v>
      </c>
      <c r="C208" s="251">
        <v>61</v>
      </c>
      <c r="D208" s="251">
        <v>4.6500000000000004</v>
      </c>
      <c r="E208" s="247" t="s">
        <v>11</v>
      </c>
      <c r="I208" s="24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173"/>
      <c r="U208" s="173"/>
      <c r="V208" s="173"/>
      <c r="W208" s="173"/>
      <c r="X208" s="37"/>
      <c r="Y208" s="174"/>
      <c r="Z208" s="174"/>
      <c r="AA208" s="174"/>
      <c r="AB208" s="174"/>
    </row>
    <row r="209" spans="1:28" ht="11.25" customHeight="1" x14ac:dyDescent="0.2">
      <c r="A209" s="249">
        <v>21777</v>
      </c>
      <c r="B209" s="250">
        <v>42733</v>
      </c>
      <c r="C209" s="251">
        <v>119</v>
      </c>
      <c r="D209" s="251"/>
      <c r="E209" s="247" t="s">
        <v>857</v>
      </c>
      <c r="I209" s="24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173"/>
      <c r="U209" s="173"/>
      <c r="V209" s="173"/>
      <c r="W209" s="173"/>
      <c r="X209" s="37"/>
      <c r="Y209" s="174"/>
      <c r="Z209" s="174"/>
      <c r="AA209" s="174"/>
      <c r="AB209" s="174"/>
    </row>
    <row r="210" spans="1:28" ht="11.25" customHeight="1" x14ac:dyDescent="0.2">
      <c r="A210" s="249">
        <v>21778</v>
      </c>
      <c r="B210" s="250">
        <v>42733</v>
      </c>
      <c r="C210" s="251">
        <v>208.38</v>
      </c>
      <c r="D210" s="251">
        <v>15.88</v>
      </c>
      <c r="E210" s="247" t="s">
        <v>11</v>
      </c>
      <c r="F210" s="20">
        <f>+C206+C208+C210+176.89</f>
        <v>460.27</v>
      </c>
      <c r="G210" s="20">
        <f>277.27+153.45</f>
        <v>430.71999999999997</v>
      </c>
      <c r="H210" s="161"/>
      <c r="I210" s="24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173"/>
      <c r="U210" s="173"/>
      <c r="V210" s="173"/>
      <c r="W210" s="173"/>
      <c r="X210" s="37"/>
      <c r="Y210" s="174"/>
      <c r="Z210" s="174"/>
      <c r="AA210" s="174"/>
      <c r="AB210" s="174"/>
    </row>
    <row r="211" spans="1:28" ht="11.25" customHeight="1" x14ac:dyDescent="0.2">
      <c r="A211" s="249">
        <v>21779</v>
      </c>
      <c r="B211" s="250">
        <v>42734</v>
      </c>
      <c r="C211" s="251">
        <v>257.08999999999997</v>
      </c>
      <c r="D211" s="251">
        <v>19.59</v>
      </c>
      <c r="E211" s="247" t="s">
        <v>533</v>
      </c>
      <c r="F211" s="21"/>
      <c r="G211" s="22"/>
      <c r="H211" s="10"/>
      <c r="I211" s="24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173"/>
      <c r="U211" s="173"/>
      <c r="V211" s="173"/>
      <c r="W211" s="173"/>
      <c r="X211" s="37"/>
      <c r="Y211" s="174"/>
      <c r="Z211" s="174"/>
      <c r="AA211" s="174"/>
      <c r="AB211" s="174"/>
    </row>
    <row r="212" spans="1:28" ht="11.25" customHeight="1" x14ac:dyDescent="0.2">
      <c r="A212" s="249">
        <v>21780</v>
      </c>
      <c r="B212" s="250">
        <v>42734</v>
      </c>
      <c r="C212" s="251">
        <v>104.46</v>
      </c>
      <c r="D212" s="251">
        <v>7.96</v>
      </c>
      <c r="E212" s="247" t="s">
        <v>21</v>
      </c>
      <c r="F212" s="21"/>
      <c r="G212" s="22"/>
      <c r="H212" s="10"/>
      <c r="I212" s="24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173"/>
      <c r="U212" s="173"/>
      <c r="V212" s="173"/>
      <c r="W212" s="173"/>
      <c r="X212" s="37"/>
      <c r="Y212" s="174"/>
      <c r="Z212" s="174"/>
      <c r="AA212" s="174"/>
      <c r="AB212" s="174"/>
    </row>
    <row r="213" spans="1:28" ht="11.25" customHeight="1" x14ac:dyDescent="0.2">
      <c r="A213" s="249">
        <v>21781</v>
      </c>
      <c r="B213" s="250">
        <v>42734</v>
      </c>
      <c r="C213" s="251">
        <v>200</v>
      </c>
      <c r="D213" s="251">
        <v>15.24</v>
      </c>
      <c r="E213" s="247"/>
      <c r="F213" s="21"/>
      <c r="G213" s="22"/>
      <c r="H213" s="10"/>
      <c r="I213" s="24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173"/>
      <c r="U213" s="173"/>
      <c r="V213" s="173"/>
      <c r="W213" s="173"/>
      <c r="X213" s="37"/>
      <c r="Y213" s="174"/>
      <c r="Z213" s="174"/>
      <c r="AA213" s="174"/>
      <c r="AB213" s="174"/>
    </row>
    <row r="214" spans="1:28" ht="11.25" customHeight="1" x14ac:dyDescent="0.2">
      <c r="A214" s="249">
        <v>21782</v>
      </c>
      <c r="B214" s="250">
        <v>42734</v>
      </c>
      <c r="C214" s="251">
        <v>67.12</v>
      </c>
      <c r="D214" s="251">
        <v>5.12</v>
      </c>
      <c r="E214" s="245"/>
      <c r="F214" s="18"/>
      <c r="G214" s="19"/>
      <c r="H214" s="12"/>
      <c r="I214" s="24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173"/>
      <c r="U214" s="173"/>
      <c r="V214" s="173"/>
      <c r="W214" s="173"/>
      <c r="X214" s="37"/>
      <c r="Y214" s="174"/>
      <c r="Z214" s="174"/>
      <c r="AA214" s="174"/>
      <c r="AB214" s="174"/>
    </row>
    <row r="215" spans="1:28" ht="11.25" customHeight="1" x14ac:dyDescent="0.2">
      <c r="A215" s="249">
        <v>21783</v>
      </c>
      <c r="B215" s="250">
        <v>42734</v>
      </c>
      <c r="C215" s="251">
        <v>30</v>
      </c>
      <c r="D215" s="251">
        <v>2.29</v>
      </c>
      <c r="E215" s="245"/>
      <c r="F215" s="18"/>
      <c r="G215" s="19"/>
      <c r="H215" s="12"/>
      <c r="I215" s="24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173"/>
      <c r="U215" s="173"/>
      <c r="V215" s="173"/>
      <c r="W215" s="173"/>
      <c r="X215" s="37"/>
      <c r="Y215" s="174"/>
      <c r="Z215" s="174"/>
      <c r="AA215" s="174"/>
      <c r="AB215" s="174"/>
    </row>
    <row r="216" spans="1:28" ht="11.25" customHeight="1" x14ac:dyDescent="0.2">
      <c r="A216" s="249">
        <v>21784</v>
      </c>
      <c r="B216" s="250">
        <v>42734</v>
      </c>
      <c r="C216" s="251">
        <v>23</v>
      </c>
      <c r="D216" s="251">
        <v>1.75</v>
      </c>
      <c r="E216" s="245"/>
      <c r="I216" s="24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173"/>
      <c r="U216" s="173"/>
      <c r="V216" s="173"/>
      <c r="W216" s="173"/>
      <c r="X216" s="37"/>
      <c r="Y216" s="174"/>
      <c r="Z216" s="174"/>
      <c r="AA216" s="174"/>
      <c r="AB216" s="174"/>
    </row>
    <row r="217" spans="1:28" ht="11.25" customHeight="1" x14ac:dyDescent="0.2">
      <c r="A217" s="249">
        <v>21772</v>
      </c>
      <c r="B217" s="250">
        <v>42734</v>
      </c>
      <c r="C217" s="251">
        <v>90</v>
      </c>
      <c r="D217" s="251">
        <v>6.86</v>
      </c>
      <c r="E217" s="245"/>
      <c r="F217" s="20">
        <v>0</v>
      </c>
      <c r="G217" s="20">
        <f>+F217*0.97831</f>
        <v>0</v>
      </c>
      <c r="H217" s="161" t="s">
        <v>880</v>
      </c>
      <c r="I217" s="24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173"/>
      <c r="U217" s="173"/>
      <c r="V217" s="173"/>
      <c r="W217" s="173"/>
      <c r="X217" s="37"/>
      <c r="Y217" s="174"/>
      <c r="Z217" s="174"/>
      <c r="AA217" s="174"/>
      <c r="AB217" s="174"/>
    </row>
    <row r="218" spans="1:28" ht="11.25" customHeight="1" x14ac:dyDescent="0.2">
      <c r="A218" s="249">
        <v>21773</v>
      </c>
      <c r="B218" s="250">
        <v>42735</v>
      </c>
      <c r="C218" s="251">
        <v>96.34</v>
      </c>
      <c r="D218" s="251">
        <v>7.34</v>
      </c>
      <c r="E218" s="247" t="s">
        <v>533</v>
      </c>
      <c r="H218" s="10"/>
      <c r="I218" s="24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173"/>
      <c r="U218" s="173"/>
      <c r="V218" s="173"/>
      <c r="W218" s="173"/>
      <c r="X218" s="37"/>
      <c r="Y218" s="174"/>
      <c r="Z218" s="174"/>
      <c r="AA218" s="174"/>
      <c r="AB218" s="174"/>
    </row>
    <row r="219" spans="1:28" ht="11.25" customHeight="1" x14ac:dyDescent="0.2">
      <c r="A219" s="249">
        <v>21774</v>
      </c>
      <c r="B219" s="250">
        <v>42735</v>
      </c>
      <c r="C219" s="251">
        <v>40</v>
      </c>
      <c r="D219" s="251">
        <v>3.05</v>
      </c>
      <c r="E219" s="245"/>
      <c r="F219" s="18"/>
      <c r="G219" s="19"/>
      <c r="H219" s="12"/>
      <c r="I219" s="24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173"/>
      <c r="U219" s="173"/>
      <c r="V219" s="173"/>
      <c r="W219" s="173"/>
      <c r="X219" s="37"/>
      <c r="Y219" s="174"/>
      <c r="Z219" s="174"/>
      <c r="AA219" s="174"/>
      <c r="AB219" s="174"/>
    </row>
    <row r="220" spans="1:28" ht="11.25" customHeight="1" x14ac:dyDescent="0.2">
      <c r="A220" s="249">
        <v>21775</v>
      </c>
      <c r="B220" s="250">
        <v>42735</v>
      </c>
      <c r="C220" s="251">
        <v>128.71</v>
      </c>
      <c r="D220" s="251">
        <v>9.81</v>
      </c>
      <c r="E220" s="245"/>
      <c r="I220" s="24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173"/>
      <c r="U220" s="173"/>
      <c r="V220" s="173"/>
      <c r="W220" s="173"/>
      <c r="X220" s="37"/>
      <c r="Y220" s="174"/>
      <c r="Z220" s="174"/>
      <c r="AA220" s="174"/>
      <c r="AB220" s="174"/>
    </row>
    <row r="221" spans="1:28" ht="11.25" customHeight="1" x14ac:dyDescent="0.2">
      <c r="A221" s="249">
        <v>21776</v>
      </c>
      <c r="B221" s="250">
        <v>42735</v>
      </c>
      <c r="C221" s="251">
        <v>31.39</v>
      </c>
      <c r="D221" s="251">
        <v>2.39</v>
      </c>
      <c r="E221" s="245"/>
      <c r="I221" s="24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173"/>
      <c r="U221" s="173"/>
      <c r="V221" s="173"/>
      <c r="W221" s="173"/>
      <c r="X221" s="37"/>
      <c r="Y221" s="174"/>
      <c r="Z221" s="174"/>
      <c r="AA221" s="174"/>
      <c r="AB221" s="174"/>
    </row>
    <row r="222" spans="1:28" ht="11.25" customHeight="1" x14ac:dyDescent="0.2">
      <c r="A222" s="249">
        <v>21777</v>
      </c>
      <c r="B222" s="250">
        <v>42735</v>
      </c>
      <c r="C222" s="251">
        <v>486.04</v>
      </c>
      <c r="D222" s="251">
        <v>37.04</v>
      </c>
      <c r="E222" s="247" t="s">
        <v>11</v>
      </c>
      <c r="F222" s="134">
        <f>+C222</f>
        <v>486.04</v>
      </c>
      <c r="G222" s="123">
        <f>+F222*0.97831</f>
        <v>475.49779240000004</v>
      </c>
      <c r="H222" s="161" t="s">
        <v>881</v>
      </c>
      <c r="I222" s="24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173"/>
      <c r="U222" s="173"/>
      <c r="V222" s="173"/>
      <c r="W222" s="173"/>
      <c r="X222" s="37"/>
      <c r="Y222" s="174"/>
      <c r="Z222" s="174"/>
      <c r="AA222" s="174"/>
      <c r="AB222" s="174"/>
    </row>
    <row r="223" spans="1:28" x14ac:dyDescent="0.2">
      <c r="A223" s="100"/>
      <c r="B223" s="164"/>
      <c r="C223" s="165"/>
      <c r="D223" s="164"/>
      <c r="E223" s="200"/>
      <c r="F223" s="8"/>
      <c r="G223" s="8"/>
      <c r="H223" s="209"/>
      <c r="I223" s="210"/>
      <c r="J223" s="210"/>
      <c r="K223" s="210"/>
      <c r="L223" s="211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x14ac:dyDescent="0.2">
      <c r="E224" s="26"/>
      <c r="H224" s="212"/>
      <c r="I224" s="213">
        <f ca="1">H1-WEEKDAY(H1,3)-7</f>
        <v>43171</v>
      </c>
      <c r="J224" s="214" t="e">
        <f t="shared" ref="J224:J237" ca="1" si="0">SUMIF(INDIRECT(TEXT(I224,"'mmm-yy'")&amp;"!B3:B400"),I224,INDIRECT(TEXT(I224,"'mmm-yy'")&amp;"!C3:C400"))</f>
        <v>#REF!</v>
      </c>
      <c r="K224" s="214"/>
      <c r="L224" s="184"/>
    </row>
    <row r="225" spans="5:12" x14ac:dyDescent="0.2">
      <c r="E225" s="26"/>
      <c r="H225" s="215"/>
      <c r="I225" s="213">
        <f t="shared" ref="I225:I237" ca="1" si="1">I224+1</f>
        <v>43172</v>
      </c>
      <c r="J225" s="214" t="e">
        <f t="shared" ca="1" si="0"/>
        <v>#REF!</v>
      </c>
      <c r="K225" s="214"/>
      <c r="L225" s="184"/>
    </row>
    <row r="226" spans="5:12" x14ac:dyDescent="0.2">
      <c r="E226" s="26"/>
      <c r="H226" s="215"/>
      <c r="I226" s="213">
        <f t="shared" ca="1" si="1"/>
        <v>43173</v>
      </c>
      <c r="J226" s="214" t="e">
        <f t="shared" ca="1" si="0"/>
        <v>#REF!</v>
      </c>
      <c r="K226" s="214"/>
      <c r="L226" s="184"/>
    </row>
    <row r="227" spans="5:12" x14ac:dyDescent="0.2">
      <c r="E227" s="26"/>
      <c r="H227" s="212"/>
      <c r="I227" s="213">
        <f t="shared" ca="1" si="1"/>
        <v>43174</v>
      </c>
      <c r="J227" s="214" t="e">
        <f t="shared" ca="1" si="0"/>
        <v>#REF!</v>
      </c>
      <c r="K227" s="214"/>
      <c r="L227" s="184"/>
    </row>
    <row r="228" spans="5:12" x14ac:dyDescent="0.2">
      <c r="E228" s="26"/>
      <c r="H228" s="212"/>
      <c r="I228" s="213">
        <f t="shared" ca="1" si="1"/>
        <v>43175</v>
      </c>
      <c r="J228" s="214" t="e">
        <f t="shared" ca="1" si="0"/>
        <v>#REF!</v>
      </c>
      <c r="K228" s="214"/>
      <c r="L228" s="184"/>
    </row>
    <row r="229" spans="5:12" x14ac:dyDescent="0.2">
      <c r="E229" s="26"/>
      <c r="H229" s="215"/>
      <c r="I229" s="213">
        <f t="shared" ca="1" si="1"/>
        <v>43176</v>
      </c>
      <c r="J229" s="214" t="e">
        <f t="shared" ca="1" si="0"/>
        <v>#REF!</v>
      </c>
      <c r="K229" s="214"/>
      <c r="L229" s="184"/>
    </row>
    <row r="230" spans="5:12" x14ac:dyDescent="0.2">
      <c r="E230" s="26"/>
      <c r="H230" s="215"/>
      <c r="I230" s="213">
        <f t="shared" ca="1" si="1"/>
        <v>43177</v>
      </c>
      <c r="J230" s="214" t="e">
        <f t="shared" ca="1" si="0"/>
        <v>#REF!</v>
      </c>
      <c r="K230" s="214" t="e">
        <f ca="1">SUM(J224:J230)</f>
        <v>#REF!</v>
      </c>
      <c r="L230" s="184"/>
    </row>
    <row r="231" spans="5:12" x14ac:dyDescent="0.2">
      <c r="E231" s="26"/>
      <c r="H231" s="212"/>
      <c r="I231" s="213">
        <f t="shared" ca="1" si="1"/>
        <v>43178</v>
      </c>
      <c r="J231" s="214" t="e">
        <f t="shared" ca="1" si="0"/>
        <v>#REF!</v>
      </c>
      <c r="K231" s="214"/>
      <c r="L231" s="184"/>
    </row>
    <row r="232" spans="5:12" x14ac:dyDescent="0.2">
      <c r="E232" s="26"/>
      <c r="H232" s="215"/>
      <c r="I232" s="213">
        <f t="shared" ca="1" si="1"/>
        <v>43179</v>
      </c>
      <c r="J232" s="214" t="e">
        <f t="shared" ca="1" si="0"/>
        <v>#REF!</v>
      </c>
      <c r="K232" s="214"/>
      <c r="L232" s="184"/>
    </row>
    <row r="233" spans="5:12" x14ac:dyDescent="0.2">
      <c r="E233" s="26"/>
      <c r="H233" s="215"/>
      <c r="I233" s="213">
        <f t="shared" ca="1" si="1"/>
        <v>43180</v>
      </c>
      <c r="J233" s="214" t="e">
        <f t="shared" ca="1" si="0"/>
        <v>#REF!</v>
      </c>
      <c r="K233" s="214"/>
      <c r="L233" s="184"/>
    </row>
    <row r="234" spans="5:12" x14ac:dyDescent="0.2">
      <c r="E234" s="26"/>
      <c r="H234" s="215"/>
      <c r="I234" s="213">
        <f t="shared" ca="1" si="1"/>
        <v>43181</v>
      </c>
      <c r="J234" s="214" t="e">
        <f t="shared" ca="1" si="0"/>
        <v>#REF!</v>
      </c>
      <c r="K234" s="214"/>
      <c r="L234" s="184"/>
    </row>
    <row r="235" spans="5:12" x14ac:dyDescent="0.2">
      <c r="E235" s="26"/>
      <c r="H235" s="215"/>
      <c r="I235" s="213">
        <f t="shared" ca="1" si="1"/>
        <v>43182</v>
      </c>
      <c r="J235" s="214" t="e">
        <f t="shared" ca="1" si="0"/>
        <v>#REF!</v>
      </c>
      <c r="K235" s="214"/>
      <c r="L235" s="184"/>
    </row>
    <row r="236" spans="5:12" x14ac:dyDescent="0.2">
      <c r="E236" s="26"/>
      <c r="H236" s="215"/>
      <c r="I236" s="213">
        <f t="shared" ca="1" si="1"/>
        <v>43183</v>
      </c>
      <c r="J236" s="214" t="e">
        <f t="shared" ca="1" si="0"/>
        <v>#REF!</v>
      </c>
      <c r="K236" s="214"/>
      <c r="L236" s="184"/>
    </row>
    <row r="237" spans="5:12" x14ac:dyDescent="0.2">
      <c r="E237" s="26"/>
      <c r="H237" s="215"/>
      <c r="I237" s="213">
        <f t="shared" ca="1" si="1"/>
        <v>43184</v>
      </c>
      <c r="J237" s="214" t="e">
        <f t="shared" ca="1" si="0"/>
        <v>#REF!</v>
      </c>
      <c r="K237" s="214" t="e">
        <f ca="1">SUM(J231:J237)</f>
        <v>#REF!</v>
      </c>
      <c r="L237" s="184"/>
    </row>
    <row r="238" spans="5:12" x14ac:dyDescent="0.2">
      <c r="E238" s="26"/>
      <c r="H238" s="216"/>
      <c r="I238" s="217"/>
      <c r="J238" s="214" t="e">
        <f ca="1">SUM(J231:J236)</f>
        <v>#REF!</v>
      </c>
      <c r="K238" s="217"/>
      <c r="L238" s="184"/>
    </row>
    <row r="239" spans="5:12" x14ac:dyDescent="0.2">
      <c r="E239" s="26"/>
      <c r="H239" s="216"/>
      <c r="I239" s="217"/>
      <c r="J239" s="217"/>
      <c r="K239" s="214"/>
      <c r="L239" s="184"/>
    </row>
    <row r="240" spans="5:12" x14ac:dyDescent="0.2">
      <c r="E240" s="26"/>
      <c r="H240" s="216"/>
      <c r="I240" s="217"/>
      <c r="J240" s="217"/>
      <c r="K240" s="217"/>
      <c r="L240" s="184"/>
    </row>
    <row r="241" spans="1:28" x14ac:dyDescent="0.2">
      <c r="E241" s="26"/>
      <c r="H241" s="216"/>
      <c r="I241" s="217"/>
      <c r="J241" s="217"/>
      <c r="K241" s="217"/>
      <c r="L241" s="184"/>
    </row>
    <row r="242" spans="1:28" x14ac:dyDescent="0.2">
      <c r="E242" s="26"/>
      <c r="H242" s="199"/>
      <c r="I242" s="184"/>
      <c r="J242" s="184"/>
      <c r="K242" s="184"/>
      <c r="L242" s="184"/>
    </row>
    <row r="243" spans="1:28" x14ac:dyDescent="0.2">
      <c r="E243" s="26"/>
      <c r="H243" s="199"/>
      <c r="I243" s="184"/>
      <c r="J243" s="184"/>
      <c r="K243" s="184"/>
      <c r="L243" s="184"/>
    </row>
    <row r="244" spans="1:28" x14ac:dyDescent="0.2">
      <c r="E244" s="26"/>
    </row>
    <row r="245" spans="1:28" x14ac:dyDescent="0.2">
      <c r="E245" s="26"/>
    </row>
    <row r="246" spans="1:28" x14ac:dyDescent="0.2">
      <c r="E246" s="26"/>
    </row>
    <row r="247" spans="1:28" x14ac:dyDescent="0.2">
      <c r="E247" s="26"/>
    </row>
    <row r="248" spans="1:28" x14ac:dyDescent="0.2">
      <c r="E248" s="26"/>
    </row>
    <row r="249" spans="1:28" x14ac:dyDescent="0.2">
      <c r="E249" s="26"/>
    </row>
    <row r="250" spans="1:28" x14ac:dyDescent="0.2">
      <c r="E250" s="26"/>
    </row>
    <row r="251" spans="1:28" s="29" customFormat="1" x14ac:dyDescent="0.2">
      <c r="A251" s="4"/>
      <c r="B251" s="11"/>
      <c r="C251" s="25"/>
      <c r="D251" s="4"/>
      <c r="E251" s="26"/>
      <c r="F251" s="4"/>
      <c r="G251" s="4"/>
      <c r="H251" s="25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s="29" customFormat="1" x14ac:dyDescent="0.2">
      <c r="A252" s="4"/>
      <c r="B252" s="11"/>
      <c r="C252" s="25"/>
      <c r="D252" s="4"/>
      <c r="E252" s="26"/>
      <c r="F252" s="4"/>
      <c r="G252" s="4"/>
      <c r="H252" s="25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x14ac:dyDescent="0.2">
      <c r="E253" s="26"/>
    </row>
    <row r="254" spans="1:28" x14ac:dyDescent="0.2">
      <c r="E254" s="26"/>
    </row>
    <row r="255" spans="1:28" x14ac:dyDescent="0.2">
      <c r="E255" s="26"/>
    </row>
    <row r="256" spans="1:28" x14ac:dyDescent="0.2">
      <c r="E256" s="26"/>
    </row>
    <row r="257" spans="1:28" x14ac:dyDescent="0.2">
      <c r="E257" s="26"/>
    </row>
    <row r="258" spans="1:28" x14ac:dyDescent="0.2">
      <c r="E258" s="26"/>
    </row>
    <row r="259" spans="1:28" x14ac:dyDescent="0.2">
      <c r="E259" s="26"/>
    </row>
    <row r="260" spans="1:28" x14ac:dyDescent="0.2">
      <c r="E260" s="26"/>
    </row>
    <row r="261" spans="1:28" x14ac:dyDescent="0.2">
      <c r="E261" s="26"/>
    </row>
    <row r="262" spans="1:28" x14ac:dyDescent="0.2">
      <c r="E262" s="26"/>
    </row>
    <row r="263" spans="1:28" x14ac:dyDescent="0.2">
      <c r="A263" s="29"/>
      <c r="B263" s="30"/>
      <c r="C263" s="31"/>
      <c r="D263" s="29"/>
      <c r="E263" s="32"/>
      <c r="F263" s="29"/>
      <c r="G263" s="29"/>
      <c r="H263" s="31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</row>
    <row r="264" spans="1:28" x14ac:dyDescent="0.2">
      <c r="A264" s="29"/>
      <c r="B264" s="30"/>
      <c r="C264" s="31"/>
      <c r="D264" s="29"/>
      <c r="E264" s="32"/>
      <c r="F264" s="29"/>
      <c r="G264" s="29"/>
      <c r="H264" s="31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</row>
    <row r="265" spans="1:28" x14ac:dyDescent="0.2">
      <c r="E265" s="26"/>
    </row>
    <row r="266" spans="1:28" x14ac:dyDescent="0.2">
      <c r="E266" s="26"/>
    </row>
    <row r="267" spans="1:28" x14ac:dyDescent="0.2">
      <c r="E267" s="26"/>
    </row>
    <row r="268" spans="1:28" x14ac:dyDescent="0.2">
      <c r="E268" s="26"/>
    </row>
    <row r="269" spans="1:28" x14ac:dyDescent="0.2">
      <c r="E269" s="26"/>
    </row>
    <row r="270" spans="1:28" x14ac:dyDescent="0.2">
      <c r="E270" s="26"/>
    </row>
    <row r="271" spans="1:28" x14ac:dyDescent="0.2">
      <c r="E271" s="26"/>
    </row>
    <row r="272" spans="1:28" x14ac:dyDescent="0.2">
      <c r="E272" s="26"/>
    </row>
    <row r="273" spans="5:5" x14ac:dyDescent="0.2">
      <c r="E273" s="26"/>
    </row>
    <row r="274" spans="5:5" x14ac:dyDescent="0.2">
      <c r="E274" s="26"/>
    </row>
    <row r="275" spans="5:5" x14ac:dyDescent="0.2">
      <c r="E275" s="26"/>
    </row>
    <row r="276" spans="5:5" x14ac:dyDescent="0.2">
      <c r="E276" s="26"/>
    </row>
    <row r="277" spans="5:5" x14ac:dyDescent="0.2">
      <c r="E277" s="26"/>
    </row>
    <row r="278" spans="5:5" x14ac:dyDescent="0.2">
      <c r="E278" s="26"/>
    </row>
    <row r="279" spans="5:5" x14ac:dyDescent="0.2">
      <c r="E279" s="26"/>
    </row>
    <row r="280" spans="5:5" x14ac:dyDescent="0.2">
      <c r="E280" s="26"/>
    </row>
    <row r="281" spans="5:5" x14ac:dyDescent="0.2">
      <c r="E281" s="26"/>
    </row>
    <row r="282" spans="5:5" x14ac:dyDescent="0.2">
      <c r="E282" s="26"/>
    </row>
    <row r="283" spans="5:5" x14ac:dyDescent="0.2">
      <c r="E283" s="26"/>
    </row>
    <row r="284" spans="5:5" x14ac:dyDescent="0.2">
      <c r="E284" s="26"/>
    </row>
    <row r="285" spans="5:5" x14ac:dyDescent="0.2">
      <c r="E285" s="26"/>
    </row>
    <row r="286" spans="5:5" x14ac:dyDescent="0.2">
      <c r="E286" s="26"/>
    </row>
    <row r="287" spans="5:5" x14ac:dyDescent="0.2">
      <c r="E287" s="26"/>
    </row>
    <row r="288" spans="5:5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3266"/>
  <sheetViews>
    <sheetView topLeftCell="A201" workbookViewId="0">
      <selection activeCell="A249" sqref="A249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28515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SUM(C3:C448)</f>
        <v>24068.711249999989</v>
      </c>
      <c r="D1" s="3">
        <f>SUM(D3:D448)</f>
        <v>1524.81125</v>
      </c>
      <c r="F1" s="166">
        <f>SUM(F3:F4282)</f>
        <v>7036.7500000000009</v>
      </c>
      <c r="G1" s="166">
        <f>SUM(G3:G4282)</f>
        <v>7244.9889310000008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s="8" customFormat="1" x14ac:dyDescent="0.2">
      <c r="A3" s="10">
        <v>21778</v>
      </c>
      <c r="B3" s="11">
        <v>42737</v>
      </c>
      <c r="C3" s="12">
        <v>48.71</v>
      </c>
      <c r="D3" s="12">
        <v>3.71</v>
      </c>
      <c r="E3" s="15" t="s">
        <v>533</v>
      </c>
      <c r="F3" s="16"/>
      <c r="G3" s="16"/>
      <c r="H3" s="16"/>
      <c r="I3" s="16"/>
    </row>
    <row r="4" spans="1:10" s="8" customFormat="1" x14ac:dyDescent="0.2">
      <c r="A4" s="10">
        <v>21779</v>
      </c>
      <c r="B4" s="11">
        <v>42737</v>
      </c>
      <c r="C4" s="12"/>
      <c r="D4" s="12"/>
      <c r="E4" s="15" t="s">
        <v>882</v>
      </c>
      <c r="F4" s="20">
        <v>48.71</v>
      </c>
      <c r="G4" s="20">
        <v>42.26</v>
      </c>
      <c r="H4" s="161"/>
      <c r="I4" s="16"/>
    </row>
    <row r="5" spans="1:10" s="8" customFormat="1" x14ac:dyDescent="0.2">
      <c r="A5" s="10">
        <v>21793</v>
      </c>
      <c r="B5" s="11">
        <v>42738</v>
      </c>
      <c r="C5" s="12">
        <v>287.39999999999998</v>
      </c>
      <c r="D5" s="12">
        <v>21.9</v>
      </c>
      <c r="E5" s="15" t="s">
        <v>883</v>
      </c>
      <c r="F5" s="16"/>
      <c r="G5" s="16"/>
      <c r="H5" s="16"/>
      <c r="I5" s="16"/>
    </row>
    <row r="6" spans="1:10" s="8" customFormat="1" x14ac:dyDescent="0.2">
      <c r="A6" s="10">
        <v>21794</v>
      </c>
      <c r="B6" s="11">
        <v>42738</v>
      </c>
      <c r="C6" s="12">
        <v>186.73</v>
      </c>
      <c r="D6" s="12">
        <v>14.23</v>
      </c>
      <c r="E6" s="13"/>
      <c r="F6" s="14"/>
      <c r="G6" s="14"/>
      <c r="H6" s="14"/>
      <c r="I6" s="16"/>
    </row>
    <row r="7" spans="1:10" s="8" customFormat="1" x14ac:dyDescent="0.2">
      <c r="A7" s="10">
        <v>21795</v>
      </c>
      <c r="B7" s="11">
        <v>42738</v>
      </c>
      <c r="C7" s="12">
        <v>136.4</v>
      </c>
      <c r="D7" s="12">
        <v>10.4</v>
      </c>
      <c r="E7" s="15" t="s">
        <v>11</v>
      </c>
      <c r="F7" s="16"/>
      <c r="G7" s="16"/>
      <c r="H7" s="16"/>
      <c r="I7" s="16"/>
    </row>
    <row r="8" spans="1:10" s="8" customFormat="1" x14ac:dyDescent="0.2">
      <c r="A8" s="10">
        <v>21796</v>
      </c>
      <c r="B8" s="11">
        <v>42738</v>
      </c>
      <c r="C8" s="12">
        <v>69.28</v>
      </c>
      <c r="D8" s="12">
        <v>5.28</v>
      </c>
      <c r="E8" s="13"/>
      <c r="I8" s="16"/>
    </row>
    <row r="9" spans="1:10" s="8" customFormat="1" x14ac:dyDescent="0.2">
      <c r="A9" s="10">
        <v>21797</v>
      </c>
      <c r="B9" s="11">
        <v>42738</v>
      </c>
      <c r="C9" s="12">
        <v>35.72</v>
      </c>
      <c r="D9" s="12">
        <v>2.72</v>
      </c>
      <c r="E9" s="17"/>
      <c r="F9" s="18"/>
      <c r="G9" s="19"/>
      <c r="H9" s="12"/>
      <c r="I9" s="16"/>
    </row>
    <row r="10" spans="1:10" s="8" customFormat="1" x14ac:dyDescent="0.2">
      <c r="A10" s="10">
        <v>21798</v>
      </c>
      <c r="B10" s="11">
        <v>42738</v>
      </c>
      <c r="C10" s="12">
        <v>70.36</v>
      </c>
      <c r="D10" s="12">
        <v>5.36</v>
      </c>
      <c r="E10" s="17"/>
      <c r="F10" s="18"/>
      <c r="G10" s="19"/>
      <c r="H10" s="12"/>
      <c r="I10" s="16"/>
    </row>
    <row r="11" spans="1:10" s="8" customFormat="1" x14ac:dyDescent="0.2">
      <c r="A11" s="10">
        <v>21799</v>
      </c>
      <c r="B11" s="11">
        <v>42738</v>
      </c>
      <c r="C11" s="12">
        <v>11.91</v>
      </c>
      <c r="D11" s="12">
        <v>0.91</v>
      </c>
      <c r="E11" s="17"/>
      <c r="F11" s="18"/>
      <c r="G11" s="19"/>
      <c r="H11" s="12"/>
      <c r="I11" s="16"/>
    </row>
    <row r="12" spans="1:10" s="8" customFormat="1" x14ac:dyDescent="0.2">
      <c r="A12" s="10">
        <v>21800</v>
      </c>
      <c r="B12" s="11">
        <v>42738</v>
      </c>
      <c r="C12" s="12">
        <v>2</v>
      </c>
      <c r="D12" s="12">
        <v>0.15</v>
      </c>
      <c r="E12" s="17"/>
      <c r="I12" s="16"/>
    </row>
    <row r="13" spans="1:10" s="8" customFormat="1" x14ac:dyDescent="0.2">
      <c r="A13" s="10">
        <v>21801</v>
      </c>
      <c r="B13" s="11">
        <v>42738</v>
      </c>
      <c r="C13" s="12">
        <v>272.79000000000002</v>
      </c>
      <c r="D13" s="12">
        <v>20.79</v>
      </c>
      <c r="E13" s="15" t="s">
        <v>884</v>
      </c>
      <c r="I13" s="16"/>
    </row>
    <row r="14" spans="1:10" s="8" customFormat="1" x14ac:dyDescent="0.2">
      <c r="A14" s="10">
        <v>21802</v>
      </c>
      <c r="B14" s="11">
        <v>42738</v>
      </c>
      <c r="C14" s="12">
        <v>161.83000000000001</v>
      </c>
      <c r="D14" s="12">
        <v>12.33</v>
      </c>
      <c r="E14" s="17"/>
      <c r="I14" s="16"/>
    </row>
    <row r="15" spans="1:10" s="8" customFormat="1" x14ac:dyDescent="0.2">
      <c r="A15" s="10">
        <v>21803</v>
      </c>
      <c r="B15" s="11">
        <v>42738</v>
      </c>
      <c r="C15" s="12">
        <v>14.07</v>
      </c>
      <c r="D15" s="12">
        <v>1.07</v>
      </c>
      <c r="E15" s="15" t="s">
        <v>533</v>
      </c>
      <c r="F15" s="21"/>
      <c r="G15" s="22"/>
      <c r="H15" s="10"/>
      <c r="I15" s="16"/>
    </row>
    <row r="16" spans="1:10" s="8" customFormat="1" x14ac:dyDescent="0.2">
      <c r="A16" s="10">
        <v>21804</v>
      </c>
      <c r="B16" s="11">
        <v>42738</v>
      </c>
      <c r="C16" s="12">
        <v>4.01</v>
      </c>
      <c r="D16" s="12">
        <v>0.31</v>
      </c>
      <c r="E16" s="17"/>
      <c r="I16" s="16"/>
    </row>
    <row r="17" spans="1:9" s="8" customFormat="1" x14ac:dyDescent="0.2">
      <c r="A17" s="10">
        <v>21805</v>
      </c>
      <c r="B17" s="11">
        <v>42738</v>
      </c>
      <c r="C17" s="12">
        <v>57</v>
      </c>
      <c r="D17" s="12">
        <v>4.34</v>
      </c>
      <c r="E17" s="15" t="s">
        <v>11</v>
      </c>
      <c r="I17" s="16"/>
    </row>
    <row r="18" spans="1:9" s="8" customFormat="1" x14ac:dyDescent="0.2">
      <c r="A18" s="10">
        <v>21806</v>
      </c>
      <c r="B18" s="11">
        <v>42738</v>
      </c>
      <c r="C18" s="12">
        <v>190.41</v>
      </c>
      <c r="D18" s="12">
        <v>14.51</v>
      </c>
      <c r="E18" s="13" t="s">
        <v>885</v>
      </c>
      <c r="F18" s="20">
        <f>125+C7+C17+72.79+145.41</f>
        <v>536.6</v>
      </c>
      <c r="G18" s="20">
        <f>525.96+72.41</f>
        <v>598.37</v>
      </c>
      <c r="H18" s="161"/>
      <c r="I18" s="16"/>
    </row>
    <row r="19" spans="1:9" s="8" customFormat="1" x14ac:dyDescent="0.2">
      <c r="A19" s="10">
        <v>21807</v>
      </c>
      <c r="B19" s="11">
        <v>42739</v>
      </c>
      <c r="C19" s="12">
        <v>306.89</v>
      </c>
      <c r="D19" s="12">
        <v>23.39</v>
      </c>
      <c r="E19" s="15" t="s">
        <v>11</v>
      </c>
      <c r="F19" s="21"/>
      <c r="G19" s="22"/>
      <c r="H19" s="10"/>
      <c r="I19" s="16"/>
    </row>
    <row r="20" spans="1:9" s="8" customFormat="1" x14ac:dyDescent="0.2">
      <c r="A20" s="10">
        <v>21808</v>
      </c>
      <c r="B20" s="11">
        <v>42739</v>
      </c>
      <c r="C20" s="12">
        <v>19.05</v>
      </c>
      <c r="D20" s="12">
        <v>1.45</v>
      </c>
      <c r="E20" s="15" t="s">
        <v>11</v>
      </c>
      <c r="F20" s="21"/>
      <c r="G20" s="22"/>
      <c r="H20" s="10"/>
      <c r="I20" s="16"/>
    </row>
    <row r="21" spans="1:9" s="8" customFormat="1" x14ac:dyDescent="0.2">
      <c r="A21" s="10">
        <v>21809</v>
      </c>
      <c r="B21" s="11">
        <v>42739</v>
      </c>
      <c r="C21" s="12">
        <v>5.2</v>
      </c>
      <c r="D21" s="12"/>
      <c r="E21" s="15" t="s">
        <v>16</v>
      </c>
      <c r="H21" s="10"/>
      <c r="I21" s="16"/>
    </row>
    <row r="22" spans="1:9" s="8" customFormat="1" x14ac:dyDescent="0.2">
      <c r="A22" s="10">
        <v>21810</v>
      </c>
      <c r="B22" s="11">
        <v>42739</v>
      </c>
      <c r="C22" s="12">
        <v>16.239999999999998</v>
      </c>
      <c r="D22" s="12">
        <v>1.24</v>
      </c>
      <c r="E22" s="17"/>
      <c r="F22" s="20">
        <f>+C19+C20</f>
        <v>325.94</v>
      </c>
      <c r="G22" s="20">
        <v>319.64999999999998</v>
      </c>
      <c r="H22" s="12"/>
      <c r="I22" s="16"/>
    </row>
    <row r="23" spans="1:9" s="8" customFormat="1" x14ac:dyDescent="0.2">
      <c r="A23" s="10">
        <v>21811</v>
      </c>
      <c r="B23" s="11">
        <v>42740</v>
      </c>
      <c r="C23" s="12">
        <v>38</v>
      </c>
      <c r="D23" s="12"/>
      <c r="E23" s="15" t="s">
        <v>886</v>
      </c>
      <c r="F23" s="21"/>
      <c r="G23" s="22"/>
      <c r="H23" s="10"/>
      <c r="I23" s="16"/>
    </row>
    <row r="24" spans="1:9" s="8" customFormat="1" x14ac:dyDescent="0.2">
      <c r="A24" s="10">
        <v>21812</v>
      </c>
      <c r="B24" s="11">
        <v>42740</v>
      </c>
      <c r="C24" s="12">
        <v>173</v>
      </c>
      <c r="D24" s="12">
        <v>13.18</v>
      </c>
      <c r="E24" s="15"/>
      <c r="H24" s="10"/>
      <c r="I24" s="16"/>
    </row>
    <row r="25" spans="1:9" s="8" customFormat="1" x14ac:dyDescent="0.2">
      <c r="A25" s="10">
        <v>21813</v>
      </c>
      <c r="B25" s="11">
        <v>42740</v>
      </c>
      <c r="C25" s="12">
        <v>201.89</v>
      </c>
      <c r="D25" s="12">
        <v>15.39</v>
      </c>
      <c r="E25" s="15"/>
      <c r="F25" s="21"/>
      <c r="G25" s="22"/>
      <c r="H25" s="10"/>
      <c r="I25" s="16"/>
    </row>
    <row r="26" spans="1:9" s="8" customFormat="1" x14ac:dyDescent="0.2">
      <c r="A26" s="10">
        <v>21814</v>
      </c>
      <c r="B26" s="11">
        <v>42740</v>
      </c>
      <c r="C26" s="12">
        <v>227.87</v>
      </c>
      <c r="D26" s="12">
        <v>17.37</v>
      </c>
      <c r="E26" s="15" t="s">
        <v>887</v>
      </c>
      <c r="F26" s="21"/>
      <c r="G26" s="22"/>
      <c r="H26" s="10"/>
      <c r="I26" s="16"/>
    </row>
    <row r="27" spans="1:9" s="8" customFormat="1" x14ac:dyDescent="0.2">
      <c r="A27" s="10">
        <v>21815</v>
      </c>
      <c r="B27" s="11">
        <v>42740</v>
      </c>
      <c r="C27" s="12">
        <v>331.79</v>
      </c>
      <c r="D27" s="12">
        <v>25.29</v>
      </c>
      <c r="E27" s="13" t="s">
        <v>888</v>
      </c>
      <c r="F27" s="18"/>
      <c r="G27" s="19"/>
      <c r="H27" s="12"/>
      <c r="I27" s="16"/>
    </row>
    <row r="28" spans="1:9" s="8" customFormat="1" x14ac:dyDescent="0.2">
      <c r="A28" s="10">
        <v>21816</v>
      </c>
      <c r="B28" s="11">
        <v>42740</v>
      </c>
      <c r="C28" s="12">
        <v>23.79</v>
      </c>
      <c r="D28" s="12">
        <v>1.81</v>
      </c>
      <c r="E28" s="15" t="s">
        <v>13</v>
      </c>
      <c r="H28" s="10"/>
      <c r="I28" s="16"/>
    </row>
    <row r="29" spans="1:9" s="8" customFormat="1" x14ac:dyDescent="0.2">
      <c r="A29" s="10">
        <v>21817</v>
      </c>
      <c r="B29" s="11">
        <v>42740</v>
      </c>
      <c r="C29" s="12"/>
      <c r="D29" s="12"/>
      <c r="E29" s="13" t="s">
        <v>889</v>
      </c>
      <c r="H29" s="12"/>
      <c r="I29" s="16"/>
    </row>
    <row r="30" spans="1:9" s="8" customFormat="1" x14ac:dyDescent="0.2">
      <c r="A30" s="10">
        <v>21818</v>
      </c>
      <c r="B30" s="11">
        <v>42740</v>
      </c>
      <c r="C30" s="12">
        <v>27</v>
      </c>
      <c r="D30" s="12"/>
      <c r="E30" s="17"/>
      <c r="F30" s="18"/>
      <c r="G30" s="19"/>
      <c r="H30" s="12"/>
      <c r="I30" s="16"/>
    </row>
    <row r="31" spans="1:9" s="8" customFormat="1" x14ac:dyDescent="0.2">
      <c r="A31" s="10">
        <v>21819</v>
      </c>
      <c r="B31" s="11">
        <v>42740</v>
      </c>
      <c r="C31" s="12">
        <v>29.4</v>
      </c>
      <c r="D31" s="12"/>
      <c r="E31" s="15" t="s">
        <v>17</v>
      </c>
      <c r="F31" s="21"/>
      <c r="G31" s="22"/>
      <c r="H31" s="10"/>
      <c r="I31" s="16"/>
    </row>
    <row r="32" spans="1:9" s="8" customFormat="1" x14ac:dyDescent="0.2">
      <c r="A32" s="10">
        <v>21820</v>
      </c>
      <c r="B32" s="11">
        <v>42740</v>
      </c>
      <c r="C32" s="12">
        <v>5.4</v>
      </c>
      <c r="D32" s="12">
        <v>0.41</v>
      </c>
      <c r="E32" s="13"/>
      <c r="F32" s="18"/>
      <c r="G32" s="19"/>
      <c r="H32" s="12"/>
      <c r="I32" s="16"/>
    </row>
    <row r="33" spans="1:9" s="8" customFormat="1" x14ac:dyDescent="0.2">
      <c r="A33" s="10">
        <v>21821</v>
      </c>
      <c r="B33" s="11">
        <v>42740</v>
      </c>
      <c r="C33" s="12">
        <v>257.08999999999997</v>
      </c>
      <c r="D33" s="12">
        <v>19.59</v>
      </c>
      <c r="E33" s="15" t="s">
        <v>890</v>
      </c>
      <c r="F33" s="21"/>
      <c r="G33" s="22"/>
      <c r="H33" s="10"/>
      <c r="I33" s="16"/>
    </row>
    <row r="34" spans="1:9" s="8" customFormat="1" x14ac:dyDescent="0.2">
      <c r="A34" s="10">
        <v>21822</v>
      </c>
      <c r="B34" s="11">
        <v>42740</v>
      </c>
      <c r="C34" s="12">
        <v>26</v>
      </c>
      <c r="D34" s="12">
        <v>1.98</v>
      </c>
      <c r="E34" s="15" t="s">
        <v>11</v>
      </c>
      <c r="F34" s="46"/>
      <c r="H34" s="10"/>
      <c r="I34" s="16"/>
    </row>
    <row r="35" spans="1:9" s="8" customFormat="1" x14ac:dyDescent="0.2">
      <c r="A35" s="10">
        <v>21823</v>
      </c>
      <c r="B35" s="11">
        <v>42740</v>
      </c>
      <c r="C35" s="12">
        <v>220.94</v>
      </c>
      <c r="D35" s="12">
        <v>16.84</v>
      </c>
      <c r="E35" s="15" t="s">
        <v>533</v>
      </c>
      <c r="F35" s="20">
        <f>+C23+C28+30+240+C34</f>
        <v>357.78999999999996</v>
      </c>
      <c r="G35" s="20">
        <v>349.64</v>
      </c>
      <c r="H35" s="10"/>
      <c r="I35" s="16"/>
    </row>
    <row r="36" spans="1:9" s="8" customFormat="1" x14ac:dyDescent="0.2">
      <c r="A36" s="10">
        <v>21824</v>
      </c>
      <c r="B36" s="11">
        <v>42741</v>
      </c>
      <c r="C36" s="12">
        <v>29.4</v>
      </c>
      <c r="D36" s="12"/>
      <c r="E36" s="15" t="s">
        <v>17</v>
      </c>
      <c r="F36" s="21"/>
      <c r="G36" s="22"/>
      <c r="H36" s="10"/>
      <c r="I36" s="16"/>
    </row>
    <row r="37" spans="1:9" s="8" customFormat="1" x14ac:dyDescent="0.2">
      <c r="A37" s="10">
        <v>21825</v>
      </c>
      <c r="B37" s="11">
        <v>42741</v>
      </c>
      <c r="C37" s="12">
        <v>96.61</v>
      </c>
      <c r="D37" s="12">
        <v>7.36</v>
      </c>
      <c r="E37" s="15" t="s">
        <v>21</v>
      </c>
      <c r="F37" s="21"/>
      <c r="G37" s="22"/>
      <c r="H37" s="10"/>
      <c r="I37" s="16"/>
    </row>
    <row r="38" spans="1:9" s="8" customFormat="1" x14ac:dyDescent="0.2">
      <c r="A38" s="10">
        <v>21826</v>
      </c>
      <c r="B38" s="11">
        <v>42741</v>
      </c>
      <c r="C38" s="12">
        <v>211.09</v>
      </c>
      <c r="D38" s="12">
        <v>16.09</v>
      </c>
      <c r="E38" s="15" t="s">
        <v>21</v>
      </c>
      <c r="H38" s="10"/>
      <c r="I38" s="16"/>
    </row>
    <row r="39" spans="1:9" s="8" customFormat="1" x14ac:dyDescent="0.2">
      <c r="A39" s="10">
        <v>21827</v>
      </c>
      <c r="B39" s="11">
        <v>42741</v>
      </c>
      <c r="C39" s="12">
        <v>27</v>
      </c>
      <c r="D39" s="12">
        <v>2.06</v>
      </c>
      <c r="E39" s="15" t="s">
        <v>11</v>
      </c>
      <c r="H39" s="10"/>
      <c r="I39" s="16"/>
    </row>
    <row r="40" spans="1:9" s="8" customFormat="1" x14ac:dyDescent="0.2">
      <c r="A40" s="10">
        <v>21828</v>
      </c>
      <c r="B40" s="11">
        <v>42741</v>
      </c>
      <c r="C40" s="12">
        <v>53.04</v>
      </c>
      <c r="D40" s="12">
        <v>4.04</v>
      </c>
      <c r="E40" s="17"/>
      <c r="F40" s="18"/>
      <c r="G40" s="19"/>
      <c r="H40" s="12"/>
      <c r="I40" s="16"/>
    </row>
    <row r="41" spans="1:9" s="8" customFormat="1" x14ac:dyDescent="0.2">
      <c r="A41" s="10">
        <v>21829</v>
      </c>
      <c r="B41" s="11">
        <v>42741</v>
      </c>
      <c r="C41" s="12">
        <v>48</v>
      </c>
      <c r="D41" s="12">
        <v>3.66</v>
      </c>
      <c r="E41" s="17"/>
      <c r="F41" s="18"/>
      <c r="G41" s="19"/>
      <c r="H41" s="12"/>
      <c r="I41" s="16"/>
    </row>
    <row r="42" spans="1:9" s="8" customFormat="1" x14ac:dyDescent="0.2">
      <c r="A42" s="10">
        <v>21830</v>
      </c>
      <c r="B42" s="11">
        <v>42741</v>
      </c>
      <c r="C42" s="12">
        <v>30</v>
      </c>
      <c r="D42" s="12"/>
      <c r="E42" s="15" t="s">
        <v>33</v>
      </c>
      <c r="H42" s="10"/>
      <c r="I42" s="16"/>
    </row>
    <row r="43" spans="1:9" s="8" customFormat="1" x14ac:dyDescent="0.2">
      <c r="A43" s="10">
        <v>21831</v>
      </c>
      <c r="B43" s="11">
        <v>42741</v>
      </c>
      <c r="C43" s="12">
        <v>319.38</v>
      </c>
      <c r="D43" s="12"/>
      <c r="E43" s="15" t="s">
        <v>82</v>
      </c>
      <c r="F43" s="20">
        <f>+C31+109+C39+C36+39.64+20.57</f>
        <v>255.01</v>
      </c>
      <c r="G43" s="20">
        <f>230.52+17.84</f>
        <v>248.36</v>
      </c>
      <c r="H43" s="161"/>
      <c r="I43" s="16"/>
    </row>
    <row r="44" spans="1:9" s="8" customFormat="1" x14ac:dyDescent="0.2">
      <c r="A44" s="10">
        <v>21832</v>
      </c>
      <c r="B44" s="11">
        <v>42742</v>
      </c>
      <c r="C44" s="12">
        <v>37.830000000000005</v>
      </c>
      <c r="D44" s="12">
        <v>2.88</v>
      </c>
      <c r="E44" s="17"/>
      <c r="F44" s="18"/>
      <c r="G44" s="19"/>
      <c r="H44" s="161"/>
      <c r="I44" s="16"/>
    </row>
    <row r="45" spans="1:9" s="8" customFormat="1" x14ac:dyDescent="0.2">
      <c r="A45" s="10">
        <v>21833</v>
      </c>
      <c r="B45" s="11">
        <v>42742</v>
      </c>
      <c r="C45" s="12">
        <v>23.82</v>
      </c>
      <c r="D45" s="12">
        <v>1.82</v>
      </c>
      <c r="E45" s="17"/>
      <c r="F45" s="18"/>
      <c r="G45" s="19"/>
      <c r="H45" s="161"/>
      <c r="I45" s="16"/>
    </row>
    <row r="46" spans="1:9" s="8" customFormat="1" x14ac:dyDescent="0.2">
      <c r="A46" s="10">
        <v>21834</v>
      </c>
      <c r="B46" s="11">
        <v>42742</v>
      </c>
      <c r="C46" s="12">
        <v>56.29</v>
      </c>
      <c r="D46" s="12">
        <v>4.29</v>
      </c>
      <c r="E46" s="15" t="s">
        <v>11</v>
      </c>
      <c r="F46" s="21"/>
      <c r="G46" s="22"/>
      <c r="H46" s="161"/>
      <c r="I46" s="16"/>
    </row>
    <row r="47" spans="1:9" s="8" customFormat="1" x14ac:dyDescent="0.2">
      <c r="A47" s="10">
        <v>21835</v>
      </c>
      <c r="B47" s="11">
        <v>42742</v>
      </c>
      <c r="C47" s="12">
        <v>148.65</v>
      </c>
      <c r="D47" s="12"/>
      <c r="E47" s="15" t="s">
        <v>82</v>
      </c>
      <c r="I47" s="16"/>
    </row>
    <row r="48" spans="1:9" s="8" customFormat="1" x14ac:dyDescent="0.2">
      <c r="A48" s="10">
        <v>21836</v>
      </c>
      <c r="B48" s="11">
        <v>42742</v>
      </c>
      <c r="C48" s="12">
        <v>59</v>
      </c>
      <c r="D48" s="12"/>
      <c r="E48" s="15" t="s">
        <v>891</v>
      </c>
      <c r="I48" s="16"/>
    </row>
    <row r="49" spans="1:12" s="8" customFormat="1" x14ac:dyDescent="0.2">
      <c r="A49" s="10">
        <v>21837</v>
      </c>
      <c r="B49" s="11">
        <v>42742</v>
      </c>
      <c r="C49" s="12">
        <v>22.73</v>
      </c>
      <c r="D49" s="12">
        <v>1.73</v>
      </c>
      <c r="E49" s="15" t="s">
        <v>11</v>
      </c>
      <c r="F49" s="21"/>
      <c r="G49" s="22"/>
      <c r="H49" s="10"/>
      <c r="I49" s="16"/>
    </row>
    <row r="50" spans="1:12" s="8" customFormat="1" x14ac:dyDescent="0.2">
      <c r="A50" s="10">
        <v>21838</v>
      </c>
      <c r="B50" s="11">
        <v>42742</v>
      </c>
      <c r="C50" s="12">
        <v>173.2</v>
      </c>
      <c r="D50" s="12">
        <v>13.2</v>
      </c>
      <c r="E50" s="15" t="s">
        <v>533</v>
      </c>
      <c r="F50" s="21"/>
      <c r="G50" s="22"/>
      <c r="H50" s="10"/>
      <c r="I50" s="16"/>
    </row>
    <row r="51" spans="1:12" x14ac:dyDescent="0.2">
      <c r="A51" s="10">
        <v>21839</v>
      </c>
      <c r="B51" s="11">
        <v>42742</v>
      </c>
      <c r="C51" s="12">
        <v>27.06</v>
      </c>
      <c r="D51" s="12">
        <v>2.06</v>
      </c>
      <c r="E51" s="15" t="s">
        <v>533</v>
      </c>
      <c r="F51" s="16"/>
      <c r="G51" s="16"/>
      <c r="H51" s="229"/>
      <c r="I51" s="229"/>
      <c r="J51" s="211"/>
      <c r="K51" s="198"/>
      <c r="L51" s="184"/>
    </row>
    <row r="52" spans="1:12" x14ac:dyDescent="0.2">
      <c r="A52" s="10">
        <v>21840</v>
      </c>
      <c r="B52" s="11">
        <v>42742</v>
      </c>
      <c r="C52" s="12">
        <v>7.58</v>
      </c>
      <c r="D52" s="12">
        <v>0.57999999999999996</v>
      </c>
      <c r="E52" s="13"/>
      <c r="F52" s="14"/>
      <c r="G52" s="14"/>
      <c r="H52" s="234"/>
      <c r="I52" s="229"/>
      <c r="J52" s="211"/>
      <c r="K52" s="198"/>
      <c r="L52" s="184"/>
    </row>
    <row r="53" spans="1:12" x14ac:dyDescent="0.2">
      <c r="A53" s="10">
        <v>21841</v>
      </c>
      <c r="B53" s="11">
        <v>42742</v>
      </c>
      <c r="C53" s="12">
        <v>21.639999999999997</v>
      </c>
      <c r="D53" s="12">
        <v>1.65</v>
      </c>
      <c r="E53" s="15" t="s">
        <v>11</v>
      </c>
      <c r="F53" s="16"/>
      <c r="G53" s="14"/>
      <c r="H53" s="229"/>
      <c r="I53" s="229"/>
      <c r="J53" s="211"/>
      <c r="K53" s="198"/>
      <c r="L53" s="184"/>
    </row>
    <row r="54" spans="1:12" x14ac:dyDescent="0.2">
      <c r="A54" s="10">
        <v>21842</v>
      </c>
      <c r="B54" s="11">
        <v>42742</v>
      </c>
      <c r="C54" s="12">
        <v>137.47999999999999</v>
      </c>
      <c r="D54" s="12">
        <v>10.48</v>
      </c>
      <c r="E54" s="13"/>
      <c r="I54" s="229"/>
      <c r="J54" s="211"/>
      <c r="K54" s="198"/>
      <c r="L54" s="184"/>
    </row>
    <row r="55" spans="1:12" x14ac:dyDescent="0.2">
      <c r="A55" s="10">
        <v>21843</v>
      </c>
      <c r="B55" s="11">
        <v>42742</v>
      </c>
      <c r="C55" s="12">
        <v>5.36</v>
      </c>
      <c r="D55" s="12">
        <v>0.41</v>
      </c>
      <c r="E55" s="15" t="s">
        <v>11</v>
      </c>
      <c r="F55" s="20">
        <f>+C46+C49+C53+C55+200.26</f>
        <v>306.27999999999997</v>
      </c>
      <c r="G55" s="20">
        <f>103.89+173.73</f>
        <v>277.62</v>
      </c>
      <c r="H55" s="161"/>
      <c r="I55" s="229"/>
      <c r="J55" s="211"/>
      <c r="K55" s="198"/>
      <c r="L55" s="184"/>
    </row>
    <row r="56" spans="1:12" x14ac:dyDescent="0.2">
      <c r="A56" s="10">
        <v>21844</v>
      </c>
      <c r="B56" s="11">
        <v>42712</v>
      </c>
      <c r="C56" s="12">
        <v>184.03</v>
      </c>
      <c r="D56" s="12">
        <v>14.03</v>
      </c>
      <c r="E56" s="15" t="s">
        <v>21</v>
      </c>
      <c r="F56" s="21"/>
      <c r="G56" s="22"/>
      <c r="H56" s="10"/>
      <c r="I56" s="229"/>
      <c r="J56" s="211"/>
      <c r="K56" s="198"/>
      <c r="L56" s="184"/>
    </row>
    <row r="57" spans="1:12" x14ac:dyDescent="0.2">
      <c r="A57" s="10">
        <v>21845</v>
      </c>
      <c r="B57" s="11">
        <v>42744</v>
      </c>
      <c r="C57" s="12">
        <v>113</v>
      </c>
      <c r="D57" s="12">
        <v>8.61</v>
      </c>
      <c r="E57" s="15" t="s">
        <v>21</v>
      </c>
      <c r="F57" s="21"/>
      <c r="G57" s="22"/>
      <c r="H57" s="10"/>
      <c r="I57" s="229"/>
      <c r="J57" s="211"/>
      <c r="K57" s="198"/>
      <c r="L57" s="184"/>
    </row>
    <row r="58" spans="1:12" x14ac:dyDescent="0.2">
      <c r="A58" s="10">
        <v>21846</v>
      </c>
      <c r="B58" s="11">
        <v>42744</v>
      </c>
      <c r="C58" s="12">
        <v>7</v>
      </c>
      <c r="D58" s="12"/>
      <c r="E58" s="13" t="s">
        <v>8</v>
      </c>
      <c r="H58" s="12"/>
      <c r="I58" s="229"/>
      <c r="J58" s="211"/>
      <c r="K58" s="198"/>
      <c r="L58" s="184"/>
    </row>
    <row r="59" spans="1:12" x14ac:dyDescent="0.2">
      <c r="A59" s="10">
        <v>21847</v>
      </c>
      <c r="B59" s="11">
        <v>42744</v>
      </c>
      <c r="C59" s="12">
        <v>463.98</v>
      </c>
      <c r="D59" s="12"/>
      <c r="E59" s="15" t="s">
        <v>82</v>
      </c>
      <c r="H59" s="10"/>
      <c r="I59" s="229"/>
      <c r="J59" s="211"/>
      <c r="K59" s="198"/>
      <c r="L59" s="184"/>
    </row>
    <row r="60" spans="1:12" x14ac:dyDescent="0.2">
      <c r="A60" s="10">
        <v>21848</v>
      </c>
      <c r="B60" s="11">
        <v>42744</v>
      </c>
      <c r="C60" s="12">
        <v>25.8</v>
      </c>
      <c r="D60" s="12"/>
      <c r="E60" s="15" t="s">
        <v>17</v>
      </c>
      <c r="F60" s="21"/>
      <c r="G60" s="22"/>
      <c r="H60" s="10"/>
      <c r="I60" s="229"/>
      <c r="J60" s="211"/>
      <c r="K60" s="198"/>
      <c r="L60" s="184"/>
    </row>
    <row r="61" spans="1:12" x14ac:dyDescent="0.2">
      <c r="A61" s="10">
        <v>21849</v>
      </c>
      <c r="B61" s="11">
        <v>42744</v>
      </c>
      <c r="C61" s="12">
        <v>17</v>
      </c>
      <c r="D61" s="12"/>
      <c r="E61" s="15" t="s">
        <v>9</v>
      </c>
      <c r="F61" s="21"/>
      <c r="G61" s="22"/>
      <c r="H61" s="10"/>
      <c r="I61" s="229"/>
      <c r="J61" s="211"/>
      <c r="K61" s="198"/>
      <c r="L61" s="184"/>
    </row>
    <row r="62" spans="1:12" x14ac:dyDescent="0.2">
      <c r="A62" s="10">
        <v>21850</v>
      </c>
      <c r="B62" s="11">
        <v>42744</v>
      </c>
      <c r="C62" s="12">
        <v>85</v>
      </c>
      <c r="D62" s="12"/>
      <c r="E62" s="15" t="s">
        <v>16</v>
      </c>
      <c r="F62" s="20">
        <f>+C61</f>
        <v>17</v>
      </c>
      <c r="G62" s="20">
        <v>17</v>
      </c>
      <c r="H62" s="10"/>
      <c r="I62" s="229"/>
      <c r="J62" s="211"/>
      <c r="K62" s="198"/>
      <c r="L62" s="184"/>
    </row>
    <row r="63" spans="1:12" x14ac:dyDescent="0.2">
      <c r="A63" s="10">
        <v>21851</v>
      </c>
      <c r="B63" s="11">
        <v>42745</v>
      </c>
      <c r="C63" s="12">
        <v>129.9</v>
      </c>
      <c r="D63" s="12">
        <v>9.9</v>
      </c>
      <c r="E63" s="17"/>
      <c r="F63" s="18"/>
      <c r="G63" s="19"/>
      <c r="H63" s="12"/>
      <c r="I63" s="229"/>
      <c r="J63" s="211"/>
      <c r="K63" s="198"/>
      <c r="L63" s="184"/>
    </row>
    <row r="64" spans="1:12" x14ac:dyDescent="0.2">
      <c r="A64" s="10">
        <v>21852</v>
      </c>
      <c r="B64" s="11">
        <v>42745</v>
      </c>
      <c r="C64" s="12">
        <v>7.5200000000000005</v>
      </c>
      <c r="D64" s="12">
        <v>0.56999999999999995</v>
      </c>
      <c r="E64" s="17"/>
      <c r="I64" s="229"/>
      <c r="J64" s="211"/>
      <c r="K64" s="198"/>
      <c r="L64" s="184"/>
    </row>
    <row r="65" spans="1:12" x14ac:dyDescent="0.2">
      <c r="A65" s="10">
        <v>21853</v>
      </c>
      <c r="B65" s="11">
        <v>42745</v>
      </c>
      <c r="C65" s="12">
        <v>182.94</v>
      </c>
      <c r="D65" s="12">
        <v>13.94</v>
      </c>
      <c r="E65" s="15" t="s">
        <v>533</v>
      </c>
      <c r="I65" s="229"/>
      <c r="J65" s="211"/>
      <c r="K65" s="198"/>
      <c r="L65" s="184"/>
    </row>
    <row r="66" spans="1:12" x14ac:dyDescent="0.2">
      <c r="A66" s="10">
        <v>21854</v>
      </c>
      <c r="B66" s="11">
        <v>42745</v>
      </c>
      <c r="C66" s="12">
        <v>456.82</v>
      </c>
      <c r="D66" s="12">
        <v>34.82</v>
      </c>
      <c r="E66" s="23"/>
      <c r="I66" s="229"/>
      <c r="J66" s="211"/>
      <c r="K66" s="198"/>
      <c r="L66" s="184"/>
    </row>
    <row r="67" spans="1:12" x14ac:dyDescent="0.2">
      <c r="A67" s="10">
        <v>21855</v>
      </c>
      <c r="B67" s="11">
        <v>42745</v>
      </c>
      <c r="C67" s="12">
        <v>328.96999999999997</v>
      </c>
      <c r="D67" s="12">
        <v>25.07</v>
      </c>
      <c r="E67" s="15" t="s">
        <v>892</v>
      </c>
      <c r="I67" s="229"/>
      <c r="J67" s="211"/>
      <c r="K67" s="198"/>
      <c r="L67" s="184"/>
    </row>
    <row r="68" spans="1:12" x14ac:dyDescent="0.2">
      <c r="A68" s="10">
        <v>21856</v>
      </c>
      <c r="B68" s="11">
        <v>42745</v>
      </c>
      <c r="C68" s="12">
        <v>124</v>
      </c>
      <c r="D68" s="12">
        <v>9.4499999999999993</v>
      </c>
      <c r="E68" s="15" t="s">
        <v>533</v>
      </c>
      <c r="I68" s="229"/>
      <c r="J68" s="211"/>
      <c r="K68" s="198"/>
      <c r="L68" s="184"/>
    </row>
    <row r="69" spans="1:12" x14ac:dyDescent="0.2">
      <c r="A69" s="10">
        <v>21857</v>
      </c>
      <c r="B69" s="11">
        <v>42745</v>
      </c>
      <c r="C69" s="12">
        <v>8.5</v>
      </c>
      <c r="D69" s="12"/>
      <c r="E69" s="15" t="s">
        <v>33</v>
      </c>
      <c r="I69" s="229"/>
      <c r="J69" s="211"/>
      <c r="K69" s="198"/>
      <c r="L69" s="184"/>
    </row>
    <row r="70" spans="1:12" x14ac:dyDescent="0.2">
      <c r="A70" s="10">
        <v>21858</v>
      </c>
      <c r="B70" s="11">
        <v>42745</v>
      </c>
      <c r="C70" s="12">
        <v>176.45</v>
      </c>
      <c r="D70" s="12">
        <v>13.45</v>
      </c>
      <c r="E70" s="15" t="s">
        <v>11</v>
      </c>
      <c r="F70" s="20">
        <f>+C60+C69+C70+286.4</f>
        <v>497.15</v>
      </c>
      <c r="G70" s="20">
        <f>210.75-3.03+248.45</f>
        <v>456.16999999999996</v>
      </c>
      <c r="H70" s="161"/>
      <c r="I70" s="229"/>
      <c r="J70" s="211"/>
      <c r="K70" s="198"/>
      <c r="L70" s="184"/>
    </row>
    <row r="71" spans="1:12" x14ac:dyDescent="0.2">
      <c r="A71" s="10">
        <v>21859</v>
      </c>
      <c r="B71" s="11">
        <v>42746</v>
      </c>
      <c r="C71" s="185">
        <v>419.5</v>
      </c>
      <c r="D71" s="12"/>
      <c r="E71" s="15" t="s">
        <v>417</v>
      </c>
      <c r="F71" s="21"/>
      <c r="G71" s="22"/>
      <c r="H71" s="10"/>
      <c r="I71" s="229"/>
      <c r="J71" s="211"/>
      <c r="K71" s="198"/>
      <c r="L71" s="184"/>
    </row>
    <row r="72" spans="1:12" x14ac:dyDescent="0.2">
      <c r="A72" s="10">
        <v>21860</v>
      </c>
      <c r="B72" s="11">
        <v>42746</v>
      </c>
      <c r="C72" s="185">
        <v>-25</v>
      </c>
      <c r="D72" s="12"/>
      <c r="E72" s="13" t="s">
        <v>8</v>
      </c>
      <c r="F72" s="18"/>
      <c r="G72" s="19"/>
      <c r="H72" s="12"/>
      <c r="I72" s="229"/>
      <c r="J72" s="211"/>
      <c r="K72" s="198"/>
      <c r="L72" s="184"/>
    </row>
    <row r="73" spans="1:12" x14ac:dyDescent="0.2">
      <c r="A73" s="10">
        <v>21861</v>
      </c>
      <c r="B73" s="11">
        <v>42746</v>
      </c>
      <c r="C73" s="185">
        <v>155</v>
      </c>
      <c r="D73" s="12"/>
      <c r="E73" s="13" t="s">
        <v>8</v>
      </c>
      <c r="F73" s="18"/>
      <c r="G73" s="19"/>
      <c r="H73" s="12"/>
      <c r="I73" s="229"/>
      <c r="J73" s="211"/>
      <c r="K73" s="198"/>
      <c r="L73" s="184"/>
    </row>
    <row r="74" spans="1:12" x14ac:dyDescent="0.2">
      <c r="A74" s="10">
        <v>21862</v>
      </c>
      <c r="B74" s="11">
        <v>42746</v>
      </c>
      <c r="C74" s="185">
        <v>47.09</v>
      </c>
      <c r="D74" s="12">
        <v>3.59</v>
      </c>
      <c r="E74" s="15" t="s">
        <v>533</v>
      </c>
      <c r="F74" s="21"/>
      <c r="G74" s="22"/>
      <c r="H74" s="10"/>
      <c r="I74" s="229"/>
      <c r="J74" s="211"/>
      <c r="K74" s="198"/>
      <c r="L74" s="184"/>
    </row>
    <row r="75" spans="1:12" x14ac:dyDescent="0.2">
      <c r="A75" s="10">
        <v>21863</v>
      </c>
      <c r="B75" s="11">
        <v>42746</v>
      </c>
      <c r="C75" s="185">
        <v>7.14</v>
      </c>
      <c r="D75" s="12">
        <v>0.54</v>
      </c>
      <c r="E75" s="15" t="s">
        <v>7</v>
      </c>
      <c r="I75" s="229"/>
      <c r="J75" s="211"/>
      <c r="K75" s="198"/>
      <c r="L75" s="184"/>
    </row>
    <row r="76" spans="1:12" x14ac:dyDescent="0.2">
      <c r="A76" s="10">
        <v>21864</v>
      </c>
      <c r="B76" s="11">
        <v>42746</v>
      </c>
      <c r="C76" s="185">
        <v>37.89</v>
      </c>
      <c r="D76" s="12">
        <v>2.89</v>
      </c>
      <c r="E76" s="15" t="s">
        <v>11</v>
      </c>
      <c r="F76" s="21"/>
      <c r="G76" s="22"/>
      <c r="H76" s="10"/>
      <c r="I76" s="229"/>
      <c r="J76" s="211"/>
      <c r="K76" s="198"/>
      <c r="L76" s="184"/>
    </row>
    <row r="77" spans="1:12" x14ac:dyDescent="0.2">
      <c r="A77" s="10">
        <v>21865</v>
      </c>
      <c r="B77" s="11">
        <v>42746</v>
      </c>
      <c r="C77" s="12">
        <v>87.95</v>
      </c>
      <c r="D77" s="12">
        <v>6.7</v>
      </c>
      <c r="E77" s="15" t="s">
        <v>533</v>
      </c>
      <c r="I77" s="229"/>
      <c r="J77" s="211"/>
      <c r="K77" s="198"/>
      <c r="L77" s="184"/>
    </row>
    <row r="78" spans="1:12" x14ac:dyDescent="0.2">
      <c r="A78" s="10">
        <v>21866</v>
      </c>
      <c r="B78" s="11">
        <v>42746</v>
      </c>
      <c r="C78" s="12">
        <v>330.16</v>
      </c>
      <c r="D78" s="12">
        <v>25.16</v>
      </c>
      <c r="E78" s="15"/>
      <c r="F78" s="21"/>
      <c r="G78" s="22"/>
      <c r="H78" s="10"/>
      <c r="I78" s="229"/>
      <c r="J78" s="211"/>
      <c r="K78" s="198"/>
      <c r="L78" s="184"/>
    </row>
    <row r="79" spans="1:12" x14ac:dyDescent="0.2">
      <c r="A79" s="10">
        <v>21867</v>
      </c>
      <c r="B79" s="11">
        <v>42746</v>
      </c>
      <c r="C79" s="12">
        <v>110</v>
      </c>
      <c r="D79" s="12">
        <v>8.3800000000000008</v>
      </c>
      <c r="E79" s="15"/>
      <c r="I79" s="229"/>
      <c r="J79" s="211"/>
      <c r="K79" s="198"/>
      <c r="L79" s="184"/>
    </row>
    <row r="80" spans="1:12" x14ac:dyDescent="0.2">
      <c r="A80" s="10">
        <v>21868</v>
      </c>
      <c r="B80" s="11">
        <v>42746</v>
      </c>
      <c r="C80" s="12">
        <v>16.18</v>
      </c>
      <c r="D80" s="12">
        <v>1.23</v>
      </c>
      <c r="E80" s="17"/>
      <c r="F80" s="134">
        <f>+C71+C75+C76</f>
        <v>464.53</v>
      </c>
      <c r="G80" s="123">
        <f>+F80*0.97831</f>
        <v>454.4543443</v>
      </c>
      <c r="H80" s="161" t="s">
        <v>893</v>
      </c>
      <c r="I80" s="229"/>
      <c r="J80" s="211"/>
      <c r="K80" s="198"/>
      <c r="L80" s="184"/>
    </row>
    <row r="81" spans="1:12" x14ac:dyDescent="0.2">
      <c r="A81" s="10">
        <v>21869</v>
      </c>
      <c r="B81" s="11">
        <v>42747</v>
      </c>
      <c r="C81" s="185"/>
      <c r="D81" s="12"/>
      <c r="E81" s="15" t="s">
        <v>372</v>
      </c>
      <c r="F81" s="21"/>
      <c r="G81" s="22"/>
      <c r="H81" s="10"/>
      <c r="I81" s="229"/>
      <c r="J81" s="211"/>
      <c r="K81" s="198"/>
      <c r="L81" s="184"/>
    </row>
    <row r="82" spans="1:12" x14ac:dyDescent="0.2">
      <c r="A82" s="10">
        <v>21870</v>
      </c>
      <c r="B82" s="11">
        <v>42747</v>
      </c>
      <c r="C82" s="12">
        <v>20</v>
      </c>
      <c r="D82" s="12">
        <v>1.52</v>
      </c>
      <c r="E82" s="17"/>
      <c r="H82" s="12"/>
      <c r="I82" s="229"/>
      <c r="J82" s="211"/>
      <c r="K82" s="198"/>
      <c r="L82" s="184"/>
    </row>
    <row r="83" spans="1:12" x14ac:dyDescent="0.2">
      <c r="A83" s="10">
        <v>21871</v>
      </c>
      <c r="B83" s="11">
        <v>42747</v>
      </c>
      <c r="C83" s="12">
        <v>50.8</v>
      </c>
      <c r="D83" s="12"/>
      <c r="E83" s="15" t="s">
        <v>82</v>
      </c>
      <c r="F83" s="21"/>
      <c r="G83" s="22"/>
      <c r="H83" s="10"/>
      <c r="I83" s="229"/>
      <c r="J83" s="211"/>
      <c r="K83" s="198"/>
      <c r="L83" s="184"/>
    </row>
    <row r="84" spans="1:12" x14ac:dyDescent="0.2">
      <c r="A84" s="10">
        <v>21872</v>
      </c>
      <c r="B84" s="11">
        <v>42747</v>
      </c>
      <c r="C84" s="12">
        <v>52</v>
      </c>
      <c r="D84" s="12"/>
      <c r="E84" s="15" t="s">
        <v>82</v>
      </c>
      <c r="F84" s="21"/>
      <c r="G84" s="22"/>
      <c r="H84" s="10"/>
      <c r="I84" s="229"/>
      <c r="J84" s="211"/>
      <c r="K84" s="198"/>
      <c r="L84" s="184"/>
    </row>
    <row r="85" spans="1:12" x14ac:dyDescent="0.2">
      <c r="A85" s="10">
        <v>21873</v>
      </c>
      <c r="B85" s="11">
        <v>42747</v>
      </c>
      <c r="C85" s="12">
        <v>9.74</v>
      </c>
      <c r="D85" s="12">
        <v>0.74</v>
      </c>
      <c r="E85" s="13"/>
      <c r="F85" s="18"/>
      <c r="G85" s="19"/>
      <c r="H85" s="12"/>
      <c r="I85" s="229"/>
      <c r="J85" s="211"/>
      <c r="K85" s="198"/>
      <c r="L85" s="184"/>
    </row>
    <row r="86" spans="1:12" x14ac:dyDescent="0.2">
      <c r="A86" s="10">
        <v>21874</v>
      </c>
      <c r="B86" s="11">
        <v>42747</v>
      </c>
      <c r="C86" s="185">
        <v>9.69</v>
      </c>
      <c r="D86" s="12">
        <v>0.74</v>
      </c>
      <c r="E86" s="15" t="s">
        <v>11</v>
      </c>
      <c r="H86" s="10"/>
      <c r="I86" s="229"/>
      <c r="J86" s="211"/>
      <c r="K86" s="198"/>
      <c r="L86" s="184"/>
    </row>
    <row r="87" spans="1:12" x14ac:dyDescent="0.2">
      <c r="A87" s="10">
        <v>21875</v>
      </c>
      <c r="B87" s="11">
        <v>42747</v>
      </c>
      <c r="C87" s="12">
        <v>129</v>
      </c>
      <c r="D87" s="12"/>
      <c r="E87" s="13" t="s">
        <v>8</v>
      </c>
      <c r="F87" s="18"/>
      <c r="G87" s="19"/>
      <c r="H87" s="12"/>
      <c r="I87" s="229"/>
      <c r="J87" s="211"/>
      <c r="K87" s="198"/>
      <c r="L87" s="184"/>
    </row>
    <row r="88" spans="1:12" x14ac:dyDescent="0.2">
      <c r="A88" s="10">
        <v>21876</v>
      </c>
      <c r="B88" s="11">
        <v>42747</v>
      </c>
      <c r="C88" s="12">
        <v>10</v>
      </c>
      <c r="D88" s="12"/>
      <c r="E88" s="13" t="s">
        <v>8</v>
      </c>
      <c r="F88" s="18"/>
      <c r="G88" s="19"/>
      <c r="H88" s="12"/>
      <c r="I88" s="229"/>
      <c r="J88" s="211"/>
      <c r="K88" s="198"/>
      <c r="L88" s="184"/>
    </row>
    <row r="89" spans="1:12" x14ac:dyDescent="0.2">
      <c r="A89" s="10">
        <v>21877</v>
      </c>
      <c r="B89" s="11">
        <v>42747</v>
      </c>
      <c r="C89" s="12">
        <v>140</v>
      </c>
      <c r="D89" s="12"/>
      <c r="E89" s="13" t="s">
        <v>8</v>
      </c>
      <c r="H89" s="12"/>
      <c r="I89" s="229"/>
      <c r="J89" s="211"/>
      <c r="K89" s="198"/>
      <c r="L89" s="184"/>
    </row>
    <row r="90" spans="1:12" x14ac:dyDescent="0.2">
      <c r="A90" s="10">
        <v>21878</v>
      </c>
      <c r="B90" s="11">
        <v>42747</v>
      </c>
      <c r="C90" s="185">
        <v>74.69</v>
      </c>
      <c r="D90" s="12">
        <v>5.69</v>
      </c>
      <c r="E90" s="15" t="s">
        <v>7</v>
      </c>
      <c r="H90" s="10"/>
      <c r="I90" s="229"/>
      <c r="J90" s="211"/>
      <c r="K90" s="198"/>
      <c r="L90" s="184"/>
    </row>
    <row r="91" spans="1:12" x14ac:dyDescent="0.2">
      <c r="A91" s="10">
        <v>21879</v>
      </c>
      <c r="B91" s="11">
        <v>42747</v>
      </c>
      <c r="C91" s="185">
        <v>16.18</v>
      </c>
      <c r="D91" s="12">
        <v>1.23</v>
      </c>
      <c r="E91" s="15" t="s">
        <v>7</v>
      </c>
      <c r="F91" s="21"/>
      <c r="G91" s="22"/>
      <c r="H91" s="10"/>
      <c r="I91" s="229"/>
      <c r="J91" s="211"/>
      <c r="K91" s="198"/>
      <c r="L91" s="184"/>
    </row>
    <row r="92" spans="1:12" x14ac:dyDescent="0.2">
      <c r="A92" s="10">
        <v>21880</v>
      </c>
      <c r="B92" s="11">
        <v>42747</v>
      </c>
      <c r="C92" s="185">
        <v>27.06</v>
      </c>
      <c r="D92" s="12">
        <v>2.06</v>
      </c>
      <c r="E92" s="15" t="s">
        <v>11</v>
      </c>
      <c r="I92" s="229"/>
      <c r="J92" s="211"/>
      <c r="K92" s="198"/>
      <c r="L92" s="184"/>
    </row>
    <row r="93" spans="1:12" x14ac:dyDescent="0.2">
      <c r="A93" s="10">
        <v>21881</v>
      </c>
      <c r="B93" s="11">
        <v>42747</v>
      </c>
      <c r="C93" s="185">
        <v>66</v>
      </c>
      <c r="D93" s="12">
        <v>5.03</v>
      </c>
      <c r="E93" s="17"/>
      <c r="F93" s="20">
        <f>+C81+C86+C90+C91+C92+C42+635.67</f>
        <v>793.29</v>
      </c>
      <c r="G93" s="20">
        <f>657.62-15.65+551.44</f>
        <v>1193.4100000000001</v>
      </c>
      <c r="H93" s="161"/>
      <c r="I93" s="229"/>
      <c r="J93" s="211"/>
      <c r="K93" s="198"/>
      <c r="L93" s="184"/>
    </row>
    <row r="94" spans="1:12" x14ac:dyDescent="0.2">
      <c r="A94" s="10">
        <v>21882</v>
      </c>
      <c r="B94" s="11">
        <v>42748</v>
      </c>
      <c r="C94" s="185">
        <v>184</v>
      </c>
      <c r="D94" s="12"/>
      <c r="E94" s="13" t="s">
        <v>8</v>
      </c>
      <c r="F94" s="18"/>
      <c r="G94" s="19"/>
      <c r="H94" s="12"/>
      <c r="I94" s="229"/>
      <c r="J94" s="211"/>
      <c r="K94" s="198"/>
      <c r="L94" s="184"/>
    </row>
    <row r="95" spans="1:12" x14ac:dyDescent="0.2">
      <c r="A95" s="10">
        <v>21883</v>
      </c>
      <c r="B95" s="11">
        <v>42748</v>
      </c>
      <c r="C95" s="185">
        <v>9.2799999999999994</v>
      </c>
      <c r="D95" s="12"/>
      <c r="E95" s="13" t="s">
        <v>894</v>
      </c>
      <c r="H95" s="12"/>
      <c r="I95" s="229"/>
      <c r="J95" s="211"/>
      <c r="K95" s="198"/>
      <c r="L95" s="184"/>
    </row>
    <row r="96" spans="1:12" x14ac:dyDescent="0.2">
      <c r="A96" s="10">
        <v>21884</v>
      </c>
      <c r="B96" s="11">
        <v>42748</v>
      </c>
      <c r="C96" s="185">
        <v>5.3900000000000006</v>
      </c>
      <c r="D96" s="12">
        <v>0.41</v>
      </c>
      <c r="E96" s="17"/>
      <c r="F96" s="18"/>
      <c r="G96" s="19"/>
      <c r="H96" s="12"/>
      <c r="I96" s="229"/>
      <c r="J96" s="211"/>
      <c r="K96" s="198"/>
      <c r="L96" s="184"/>
    </row>
    <row r="97" spans="1:12" x14ac:dyDescent="0.2">
      <c r="A97" s="10">
        <v>21885</v>
      </c>
      <c r="B97" s="11">
        <v>42748</v>
      </c>
      <c r="C97" s="185">
        <v>8</v>
      </c>
      <c r="D97" s="12">
        <v>0.61</v>
      </c>
      <c r="E97" s="17"/>
      <c r="H97" s="12"/>
      <c r="I97" s="229"/>
      <c r="J97" s="211"/>
      <c r="K97" s="198"/>
      <c r="L97" s="184"/>
    </row>
    <row r="98" spans="1:12" x14ac:dyDescent="0.2">
      <c r="A98" s="10">
        <v>21886</v>
      </c>
      <c r="B98" s="11">
        <v>42748</v>
      </c>
      <c r="C98" s="185">
        <v>10.83</v>
      </c>
      <c r="D98" s="12">
        <v>0.83</v>
      </c>
      <c r="E98" s="15" t="s">
        <v>7</v>
      </c>
      <c r="H98" s="10"/>
      <c r="I98" s="229"/>
      <c r="J98" s="211"/>
      <c r="K98" s="198"/>
      <c r="L98" s="184"/>
    </row>
    <row r="99" spans="1:12" x14ac:dyDescent="0.2">
      <c r="A99" s="10">
        <v>21887</v>
      </c>
      <c r="B99" s="11">
        <v>42748</v>
      </c>
      <c r="C99" s="185">
        <v>1.08</v>
      </c>
      <c r="D99" s="12">
        <v>0.08</v>
      </c>
      <c r="E99" s="15" t="s">
        <v>11</v>
      </c>
      <c r="F99" s="20">
        <f>+C98+C99</f>
        <v>11.91</v>
      </c>
      <c r="G99" s="20">
        <v>11.23</v>
      </c>
      <c r="H99" s="10"/>
      <c r="I99" s="229"/>
      <c r="J99" s="211"/>
      <c r="K99" s="198"/>
      <c r="L99" s="184"/>
    </row>
    <row r="100" spans="1:12" x14ac:dyDescent="0.2">
      <c r="A100" s="10">
        <v>21888</v>
      </c>
      <c r="B100" s="11">
        <v>42749</v>
      </c>
      <c r="C100" s="185">
        <v>70</v>
      </c>
      <c r="D100" s="12">
        <v>5.34</v>
      </c>
      <c r="E100" s="17"/>
      <c r="H100" s="12"/>
      <c r="I100" s="229"/>
      <c r="J100" s="211"/>
      <c r="K100" s="198"/>
      <c r="L100" s="184"/>
    </row>
    <row r="101" spans="1:12" x14ac:dyDescent="0.2">
      <c r="A101" s="10">
        <v>21889</v>
      </c>
      <c r="B101" s="11">
        <v>42749</v>
      </c>
      <c r="C101" s="185">
        <v>19.489999999999998</v>
      </c>
      <c r="D101" s="12">
        <v>1.49</v>
      </c>
      <c r="E101" s="17"/>
      <c r="H101" s="12"/>
      <c r="I101" s="229"/>
      <c r="J101" s="211"/>
      <c r="K101" s="198"/>
      <c r="L101" s="184"/>
    </row>
    <row r="102" spans="1:12" x14ac:dyDescent="0.2">
      <c r="A102" s="10">
        <v>21890</v>
      </c>
      <c r="B102" s="11">
        <v>42749</v>
      </c>
      <c r="C102" s="185">
        <v>328</v>
      </c>
      <c r="D102" s="12">
        <v>25</v>
      </c>
      <c r="E102" s="17"/>
      <c r="H102" s="12"/>
      <c r="I102" s="229"/>
      <c r="J102" s="211"/>
      <c r="K102" s="198"/>
      <c r="L102" s="184"/>
    </row>
    <row r="103" spans="1:12" x14ac:dyDescent="0.2">
      <c r="A103" s="10">
        <v>21891</v>
      </c>
      <c r="B103" s="11">
        <v>42749</v>
      </c>
      <c r="C103" s="185">
        <v>96.34</v>
      </c>
      <c r="D103" s="12">
        <v>7.34</v>
      </c>
      <c r="E103" s="15" t="s">
        <v>895</v>
      </c>
      <c r="F103" s="21"/>
      <c r="G103" s="22"/>
      <c r="H103" s="10"/>
      <c r="I103" s="229"/>
      <c r="J103" s="211"/>
      <c r="K103" s="198"/>
      <c r="L103" s="184"/>
    </row>
    <row r="104" spans="1:12" x14ac:dyDescent="0.2">
      <c r="A104" s="10">
        <v>21892</v>
      </c>
      <c r="B104" s="11">
        <v>42749</v>
      </c>
      <c r="C104" s="185">
        <v>90.93</v>
      </c>
      <c r="D104" s="12">
        <v>6.93</v>
      </c>
      <c r="E104" s="15"/>
      <c r="F104" s="21"/>
      <c r="G104" s="22"/>
      <c r="H104" s="10"/>
      <c r="I104" s="229"/>
      <c r="J104" s="211"/>
      <c r="K104" s="198"/>
      <c r="L104" s="184"/>
    </row>
    <row r="105" spans="1:12" x14ac:dyDescent="0.2">
      <c r="A105" s="10">
        <v>21893</v>
      </c>
      <c r="B105" s="11">
        <v>42749</v>
      </c>
      <c r="C105" s="185">
        <v>270</v>
      </c>
      <c r="D105" s="12">
        <v>20.58</v>
      </c>
      <c r="E105" s="15"/>
      <c r="F105" s="20">
        <v>0</v>
      </c>
      <c r="G105" s="20">
        <f>+F105*0.97831</f>
        <v>0</v>
      </c>
      <c r="H105" s="10"/>
      <c r="I105" s="229"/>
      <c r="J105" s="211"/>
      <c r="K105" s="198"/>
      <c r="L105" s="184"/>
    </row>
    <row r="106" spans="1:12" x14ac:dyDescent="0.2">
      <c r="A106" s="10">
        <v>21894</v>
      </c>
      <c r="B106" s="11">
        <v>42751</v>
      </c>
      <c r="C106" s="185">
        <v>164</v>
      </c>
      <c r="D106" s="12">
        <v>12.5</v>
      </c>
      <c r="E106" s="17"/>
      <c r="F106" s="18"/>
      <c r="G106" s="19"/>
      <c r="H106" s="12"/>
      <c r="I106" s="229"/>
      <c r="J106" s="211"/>
      <c r="K106" s="198"/>
      <c r="L106" s="184"/>
    </row>
    <row r="107" spans="1:12" x14ac:dyDescent="0.2">
      <c r="A107" s="10">
        <v>21895</v>
      </c>
      <c r="B107" s="11">
        <v>42751</v>
      </c>
      <c r="C107" s="185">
        <v>21.11</v>
      </c>
      <c r="D107" s="12">
        <v>1.61</v>
      </c>
      <c r="E107" s="17"/>
      <c r="F107" s="18"/>
      <c r="G107" s="19"/>
      <c r="H107" s="12"/>
      <c r="I107" s="229"/>
      <c r="J107" s="211"/>
      <c r="K107" s="198"/>
      <c r="L107" s="184"/>
    </row>
    <row r="108" spans="1:12" x14ac:dyDescent="0.2">
      <c r="A108" s="10">
        <v>21896</v>
      </c>
      <c r="B108" s="11">
        <v>42751</v>
      </c>
      <c r="C108" s="185">
        <v>111.5</v>
      </c>
      <c r="D108" s="12">
        <v>8.5</v>
      </c>
      <c r="E108" s="17"/>
      <c r="F108" s="18"/>
      <c r="G108" s="19"/>
      <c r="H108" s="12"/>
      <c r="I108" s="229"/>
      <c r="J108" s="211"/>
      <c r="K108" s="198"/>
      <c r="L108" s="184"/>
    </row>
    <row r="109" spans="1:12" x14ac:dyDescent="0.2">
      <c r="A109" s="10">
        <v>21897</v>
      </c>
      <c r="B109" s="11">
        <v>42751</v>
      </c>
      <c r="C109" s="185">
        <v>22.73</v>
      </c>
      <c r="D109" s="12">
        <v>1.73</v>
      </c>
      <c r="E109" s="17"/>
      <c r="F109" s="18"/>
      <c r="G109" s="19"/>
      <c r="H109" s="12"/>
      <c r="I109" s="229"/>
      <c r="J109" s="211"/>
      <c r="K109" s="198"/>
      <c r="L109" s="184"/>
    </row>
    <row r="110" spans="1:12" x14ac:dyDescent="0.2">
      <c r="A110" s="10">
        <v>21898</v>
      </c>
      <c r="B110" s="11">
        <v>42751</v>
      </c>
      <c r="C110" s="185">
        <v>275.20999999999998</v>
      </c>
      <c r="D110" s="12">
        <v>20.21</v>
      </c>
      <c r="E110" s="15" t="s">
        <v>533</v>
      </c>
      <c r="F110" s="21"/>
      <c r="G110" s="22"/>
      <c r="H110" s="10"/>
      <c r="I110" s="229"/>
      <c r="J110" s="211"/>
      <c r="K110" s="198"/>
      <c r="L110" s="184"/>
    </row>
    <row r="111" spans="1:12" x14ac:dyDescent="0.2">
      <c r="A111" s="10">
        <v>21899</v>
      </c>
      <c r="B111" s="11">
        <v>42751</v>
      </c>
      <c r="C111" s="185">
        <v>291.73</v>
      </c>
      <c r="D111" s="12">
        <v>22.23</v>
      </c>
      <c r="E111" s="13" t="s">
        <v>896</v>
      </c>
      <c r="H111" s="12"/>
      <c r="I111" s="229"/>
      <c r="J111" s="211"/>
      <c r="K111" s="198"/>
      <c r="L111" s="184"/>
    </row>
    <row r="112" spans="1:12" x14ac:dyDescent="0.2">
      <c r="A112" s="10">
        <v>21900</v>
      </c>
      <c r="B112" s="11">
        <v>42751</v>
      </c>
      <c r="C112" s="185">
        <v>38</v>
      </c>
      <c r="D112" s="12"/>
      <c r="E112" s="15" t="s">
        <v>533</v>
      </c>
      <c r="F112" s="21"/>
      <c r="G112" s="22"/>
      <c r="H112" s="12"/>
      <c r="I112" s="229"/>
      <c r="J112" s="211"/>
      <c r="K112" s="198"/>
      <c r="L112" s="184"/>
    </row>
    <row r="113" spans="1:12" x14ac:dyDescent="0.2">
      <c r="A113" s="10">
        <v>21901</v>
      </c>
      <c r="B113" s="11">
        <v>42751</v>
      </c>
      <c r="C113" s="185">
        <v>326.92</v>
      </c>
      <c r="D113" s="12">
        <v>24.92</v>
      </c>
      <c r="E113" s="17"/>
      <c r="F113" s="18"/>
      <c r="G113" s="19"/>
      <c r="H113" s="12"/>
      <c r="I113" s="229"/>
      <c r="J113" s="211"/>
      <c r="K113" s="198"/>
      <c r="L113" s="184"/>
    </row>
    <row r="114" spans="1:12" x14ac:dyDescent="0.2">
      <c r="A114" s="10">
        <v>21902</v>
      </c>
      <c r="B114" s="11">
        <v>42751</v>
      </c>
      <c r="C114" s="185">
        <v>89.85</v>
      </c>
      <c r="D114" s="12">
        <v>6.85</v>
      </c>
      <c r="E114" s="15" t="s">
        <v>533</v>
      </c>
      <c r="I114" s="229"/>
      <c r="J114" s="211"/>
      <c r="K114" s="198"/>
      <c r="L114" s="184"/>
    </row>
    <row r="115" spans="1:12" x14ac:dyDescent="0.2">
      <c r="A115" s="10">
        <v>21903</v>
      </c>
      <c r="B115" s="11">
        <v>42751</v>
      </c>
      <c r="C115" s="185">
        <v>10.83</v>
      </c>
      <c r="D115" s="12">
        <v>0.83</v>
      </c>
      <c r="E115" s="15" t="s">
        <v>533</v>
      </c>
      <c r="I115" s="229"/>
      <c r="J115" s="211"/>
      <c r="K115" s="198"/>
      <c r="L115" s="184"/>
    </row>
    <row r="116" spans="1:12" x14ac:dyDescent="0.2">
      <c r="A116" s="10">
        <v>21904</v>
      </c>
      <c r="B116" s="11">
        <v>42751</v>
      </c>
      <c r="C116" s="185">
        <v>150.47</v>
      </c>
      <c r="D116" s="12">
        <v>11.47</v>
      </c>
      <c r="E116" s="17"/>
      <c r="F116" s="18"/>
      <c r="G116" s="19"/>
      <c r="H116" s="12"/>
      <c r="I116" s="229"/>
      <c r="J116" s="211"/>
      <c r="K116" s="198"/>
      <c r="L116" s="184"/>
    </row>
    <row r="117" spans="1:12" x14ac:dyDescent="0.2">
      <c r="A117" s="10">
        <v>21905</v>
      </c>
      <c r="B117" s="11">
        <v>42751</v>
      </c>
      <c r="C117" s="185">
        <v>151</v>
      </c>
      <c r="D117" s="12">
        <v>11.51</v>
      </c>
      <c r="E117" s="15" t="s">
        <v>533</v>
      </c>
      <c r="F117" s="20">
        <v>289.68</v>
      </c>
      <c r="G117" s="20">
        <v>251.29</v>
      </c>
      <c r="H117" s="161"/>
      <c r="I117" s="229"/>
      <c r="J117" s="211"/>
      <c r="K117" s="198"/>
      <c r="L117" s="184"/>
    </row>
    <row r="118" spans="1:12" x14ac:dyDescent="0.2">
      <c r="A118" s="10">
        <v>21906</v>
      </c>
      <c r="B118" s="11">
        <v>42752</v>
      </c>
      <c r="C118" s="185">
        <v>550</v>
      </c>
      <c r="D118" s="12">
        <v>41.92</v>
      </c>
      <c r="E118" s="15"/>
      <c r="F118" s="21"/>
      <c r="G118" s="22"/>
      <c r="H118" s="10"/>
      <c r="I118" s="229"/>
      <c r="J118" s="211"/>
      <c r="K118" s="198"/>
      <c r="L118" s="184"/>
    </row>
    <row r="119" spans="1:12" x14ac:dyDescent="0.2">
      <c r="A119" s="10">
        <v>21907</v>
      </c>
      <c r="B119" s="11">
        <v>42752</v>
      </c>
      <c r="C119" s="185">
        <v>64</v>
      </c>
      <c r="D119" s="12"/>
      <c r="E119" s="17"/>
      <c r="F119" s="18"/>
      <c r="G119" s="19"/>
      <c r="H119" s="12"/>
      <c r="I119" s="229"/>
      <c r="J119" s="211"/>
      <c r="K119" s="198"/>
      <c r="L119" s="184"/>
    </row>
    <row r="120" spans="1:12" x14ac:dyDescent="0.2">
      <c r="A120" s="10">
        <v>21908</v>
      </c>
      <c r="B120" s="11">
        <v>42752</v>
      </c>
      <c r="C120" s="185">
        <v>17.32</v>
      </c>
      <c r="D120" s="12">
        <v>1.32</v>
      </c>
      <c r="E120" s="17"/>
      <c r="F120" s="18"/>
      <c r="G120" s="19"/>
      <c r="H120" s="12"/>
      <c r="I120" s="229"/>
      <c r="J120" s="211"/>
      <c r="K120" s="198"/>
      <c r="L120" s="184"/>
    </row>
    <row r="121" spans="1:12" x14ac:dyDescent="0.2">
      <c r="A121" s="10">
        <v>21909</v>
      </c>
      <c r="B121" s="11">
        <v>42752</v>
      </c>
      <c r="C121" s="185">
        <v>153.72</v>
      </c>
      <c r="D121" s="12">
        <v>11.72</v>
      </c>
      <c r="E121" s="13" t="s">
        <v>11</v>
      </c>
      <c r="I121" s="229"/>
      <c r="J121" s="211"/>
      <c r="K121" s="198"/>
      <c r="L121" s="184"/>
    </row>
    <row r="122" spans="1:12" x14ac:dyDescent="0.2">
      <c r="A122" s="10">
        <v>21910</v>
      </c>
      <c r="B122" s="11">
        <v>42752</v>
      </c>
      <c r="C122" s="185">
        <v>30.31</v>
      </c>
      <c r="D122" s="12">
        <v>2.31</v>
      </c>
      <c r="E122" s="17"/>
      <c r="F122" s="18"/>
      <c r="G122" s="19"/>
      <c r="H122" s="12"/>
      <c r="I122" s="229"/>
      <c r="J122" s="211"/>
      <c r="K122" s="198"/>
      <c r="L122" s="184"/>
    </row>
    <row r="123" spans="1:12" x14ac:dyDescent="0.2">
      <c r="A123" s="10">
        <v>21911</v>
      </c>
      <c r="B123" s="11">
        <v>42752</v>
      </c>
      <c r="C123" s="185">
        <v>61.43</v>
      </c>
      <c r="D123" s="12">
        <v>4.68</v>
      </c>
      <c r="E123" s="15" t="s">
        <v>11</v>
      </c>
      <c r="I123" s="229"/>
      <c r="J123" s="211"/>
      <c r="K123" s="198"/>
      <c r="L123" s="184"/>
    </row>
    <row r="124" spans="1:12" x14ac:dyDescent="0.2">
      <c r="A124" s="10">
        <v>21912</v>
      </c>
      <c r="B124" s="11">
        <v>42752</v>
      </c>
      <c r="C124" s="185">
        <v>251.68</v>
      </c>
      <c r="D124" s="12">
        <v>19.18</v>
      </c>
      <c r="E124" s="15" t="s">
        <v>21</v>
      </c>
      <c r="F124" s="20">
        <f>+C121+90.93</f>
        <v>244.65</v>
      </c>
      <c r="G124" s="20">
        <f>152.88+78.88</f>
        <v>231.76</v>
      </c>
      <c r="H124" s="161"/>
      <c r="I124" s="229"/>
      <c r="J124" s="211"/>
      <c r="K124" s="198"/>
      <c r="L124" s="184"/>
    </row>
    <row r="125" spans="1:12" x14ac:dyDescent="0.2">
      <c r="A125" s="10">
        <v>21913</v>
      </c>
      <c r="B125" s="11">
        <v>42753</v>
      </c>
      <c r="C125" s="185">
        <v>10.83</v>
      </c>
      <c r="D125" s="12">
        <v>0.83</v>
      </c>
      <c r="E125" s="17"/>
      <c r="F125" s="18"/>
      <c r="G125" s="19"/>
      <c r="H125" s="12"/>
      <c r="I125" s="229"/>
      <c r="J125" s="211"/>
      <c r="K125" s="198"/>
      <c r="L125" s="184"/>
    </row>
    <row r="126" spans="1:12" x14ac:dyDescent="0.2">
      <c r="A126" s="10">
        <v>21914</v>
      </c>
      <c r="B126" s="11">
        <v>42753</v>
      </c>
      <c r="C126" s="185">
        <v>25.44</v>
      </c>
      <c r="D126" s="12">
        <v>1.94</v>
      </c>
      <c r="E126" s="15"/>
      <c r="F126" s="21"/>
      <c r="G126" s="22"/>
      <c r="H126" s="10"/>
      <c r="I126" s="229"/>
      <c r="J126" s="211"/>
      <c r="K126" s="198"/>
      <c r="L126" s="184"/>
    </row>
    <row r="127" spans="1:12" x14ac:dyDescent="0.2">
      <c r="A127" s="10">
        <v>21915</v>
      </c>
      <c r="B127" s="11">
        <v>42753</v>
      </c>
      <c r="C127" s="185">
        <v>70.36</v>
      </c>
      <c r="D127" s="12">
        <v>5.36</v>
      </c>
      <c r="E127" s="17"/>
      <c r="H127" s="12"/>
      <c r="I127" s="229"/>
      <c r="J127" s="211"/>
      <c r="K127" s="198"/>
      <c r="L127" s="184"/>
    </row>
    <row r="128" spans="1:12" x14ac:dyDescent="0.2">
      <c r="A128" s="10">
        <v>21916</v>
      </c>
      <c r="B128" s="11">
        <v>42753</v>
      </c>
      <c r="C128" s="185">
        <v>463.31</v>
      </c>
      <c r="D128" s="12">
        <v>35.31</v>
      </c>
      <c r="E128" s="15"/>
      <c r="H128" s="10"/>
      <c r="I128" s="229"/>
      <c r="J128" s="211"/>
      <c r="K128" s="198"/>
      <c r="L128" s="184"/>
    </row>
    <row r="129" spans="1:12" x14ac:dyDescent="0.2">
      <c r="A129" s="10">
        <v>21917</v>
      </c>
      <c r="B129" s="11">
        <v>42753</v>
      </c>
      <c r="C129" s="185">
        <v>15</v>
      </c>
      <c r="D129" s="12"/>
      <c r="E129" s="13" t="s">
        <v>8</v>
      </c>
      <c r="F129" s="20">
        <v>0</v>
      </c>
      <c r="G129" s="20">
        <f>+F129*0.97831</f>
        <v>0</v>
      </c>
      <c r="H129" s="161"/>
      <c r="I129" s="229"/>
      <c r="J129" s="211"/>
      <c r="K129" s="198"/>
      <c r="L129" s="184"/>
    </row>
    <row r="130" spans="1:12" x14ac:dyDescent="0.2">
      <c r="A130" s="10">
        <v>21918</v>
      </c>
      <c r="B130" s="11">
        <v>42754</v>
      </c>
      <c r="C130" s="185">
        <v>24</v>
      </c>
      <c r="D130" s="12"/>
      <c r="E130" s="15" t="s">
        <v>897</v>
      </c>
      <c r="I130" s="229"/>
      <c r="J130" s="211"/>
      <c r="K130" s="198"/>
      <c r="L130" s="184"/>
    </row>
    <row r="131" spans="1:12" x14ac:dyDescent="0.2">
      <c r="A131" s="10">
        <v>21919</v>
      </c>
      <c r="B131" s="11">
        <v>42754</v>
      </c>
      <c r="C131" s="185">
        <v>9.2012499999999999</v>
      </c>
      <c r="D131" s="12">
        <v>0.70125000000000004</v>
      </c>
      <c r="E131" s="17"/>
      <c r="I131" s="229"/>
      <c r="J131" s="211"/>
      <c r="K131" s="198"/>
      <c r="L131" s="184"/>
    </row>
    <row r="132" spans="1:12" x14ac:dyDescent="0.2">
      <c r="A132" s="10">
        <v>21920</v>
      </c>
      <c r="B132" s="11">
        <v>42754</v>
      </c>
      <c r="C132" s="185">
        <v>61.7</v>
      </c>
      <c r="D132" s="12">
        <v>4.7</v>
      </c>
      <c r="E132" s="15" t="s">
        <v>11</v>
      </c>
      <c r="F132" s="20">
        <f>191.73+C132+289.21</f>
        <v>542.64</v>
      </c>
      <c r="G132" s="20">
        <f>248.2+250.88</f>
        <v>499.08</v>
      </c>
      <c r="H132" s="161"/>
      <c r="I132" s="229"/>
      <c r="J132" s="211"/>
      <c r="K132" s="198"/>
      <c r="L132" s="184"/>
    </row>
    <row r="133" spans="1:12" x14ac:dyDescent="0.2">
      <c r="A133" s="10">
        <v>21921</v>
      </c>
      <c r="B133" s="11">
        <v>42755</v>
      </c>
      <c r="C133" s="185">
        <v>460</v>
      </c>
      <c r="D133" s="12"/>
      <c r="E133" s="15" t="s">
        <v>21</v>
      </c>
      <c r="I133" s="229"/>
      <c r="J133" s="211"/>
      <c r="K133" s="198"/>
      <c r="L133" s="184"/>
    </row>
    <row r="134" spans="1:12" x14ac:dyDescent="0.2">
      <c r="A134" s="10">
        <v>21922</v>
      </c>
      <c r="B134" s="11">
        <v>42755</v>
      </c>
      <c r="C134" s="185">
        <v>21.599999999999998</v>
      </c>
      <c r="D134" s="12">
        <v>1.65</v>
      </c>
      <c r="E134" s="17"/>
      <c r="F134" s="215"/>
      <c r="G134" s="215"/>
      <c r="H134" s="12"/>
      <c r="I134" s="229"/>
      <c r="J134" s="211"/>
      <c r="K134" s="198"/>
      <c r="L134" s="184"/>
    </row>
    <row r="135" spans="1:12" x14ac:dyDescent="0.2">
      <c r="A135" s="10">
        <v>21923</v>
      </c>
      <c r="B135" s="11">
        <v>42755</v>
      </c>
      <c r="C135" s="185">
        <v>13.53</v>
      </c>
      <c r="D135" s="12">
        <v>1.03</v>
      </c>
      <c r="E135" s="17"/>
      <c r="F135" s="215"/>
      <c r="G135" s="215"/>
      <c r="H135" s="12"/>
      <c r="I135" s="229"/>
      <c r="J135" s="211"/>
      <c r="K135" s="198"/>
      <c r="L135" s="184"/>
    </row>
    <row r="136" spans="1:12" x14ac:dyDescent="0.2">
      <c r="A136" s="10">
        <v>21924</v>
      </c>
      <c r="B136" s="11">
        <v>42755</v>
      </c>
      <c r="C136" s="185">
        <v>21.599999999999998</v>
      </c>
      <c r="D136" s="12">
        <v>1.65</v>
      </c>
      <c r="E136" s="17"/>
      <c r="F136" s="215"/>
      <c r="G136" s="215"/>
      <c r="H136" s="12"/>
      <c r="I136" s="229"/>
      <c r="J136" s="211"/>
      <c r="K136" s="198"/>
      <c r="L136" s="184"/>
    </row>
    <row r="137" spans="1:12" x14ac:dyDescent="0.2">
      <c r="A137" s="10">
        <v>21925</v>
      </c>
      <c r="B137" s="11">
        <v>42755</v>
      </c>
      <c r="C137" s="185">
        <v>120</v>
      </c>
      <c r="D137" s="12">
        <v>9.15</v>
      </c>
      <c r="E137" s="17"/>
      <c r="I137" s="229"/>
      <c r="J137" s="211"/>
      <c r="K137" s="198"/>
      <c r="L137" s="184"/>
    </row>
    <row r="138" spans="1:12" x14ac:dyDescent="0.2">
      <c r="A138" s="10">
        <v>21926</v>
      </c>
      <c r="B138" s="11">
        <v>42755</v>
      </c>
      <c r="C138" s="185">
        <v>147</v>
      </c>
      <c r="D138" s="12">
        <v>11.2</v>
      </c>
      <c r="E138" s="15" t="s">
        <v>533</v>
      </c>
      <c r="F138" s="21"/>
      <c r="G138" s="22"/>
      <c r="H138" s="10"/>
      <c r="I138" s="229"/>
      <c r="J138" s="211"/>
      <c r="K138" s="198"/>
      <c r="L138" s="184"/>
    </row>
    <row r="139" spans="1:12" x14ac:dyDescent="0.2">
      <c r="A139" s="10">
        <v>21927</v>
      </c>
      <c r="B139" s="11">
        <v>42755</v>
      </c>
      <c r="C139" s="185">
        <v>228.95</v>
      </c>
      <c r="D139" s="12">
        <v>17.45</v>
      </c>
      <c r="E139" s="13" t="s">
        <v>898</v>
      </c>
      <c r="I139" s="229"/>
      <c r="J139" s="211"/>
      <c r="K139" s="198"/>
      <c r="L139" s="184"/>
    </row>
    <row r="140" spans="1:12" x14ac:dyDescent="0.2">
      <c r="A140" s="10">
        <v>21928</v>
      </c>
      <c r="B140" s="11">
        <v>42755</v>
      </c>
      <c r="C140" s="185">
        <v>14</v>
      </c>
      <c r="D140" s="12">
        <v>1.07</v>
      </c>
      <c r="E140" s="15" t="s">
        <v>533</v>
      </c>
      <c r="I140" s="229"/>
      <c r="J140" s="211"/>
      <c r="K140" s="198"/>
      <c r="L140" s="184"/>
    </row>
    <row r="141" spans="1:12" x14ac:dyDescent="0.2">
      <c r="A141" s="10">
        <v>21929</v>
      </c>
      <c r="B141" s="11">
        <v>42755</v>
      </c>
      <c r="C141" s="185">
        <v>48.71</v>
      </c>
      <c r="D141" s="12">
        <v>3.71</v>
      </c>
      <c r="E141" s="15" t="s">
        <v>523</v>
      </c>
      <c r="F141" s="134">
        <f>+C123+C141</f>
        <v>110.14</v>
      </c>
      <c r="G141" s="123">
        <f>+F141*0.97831</f>
        <v>107.75106340000001</v>
      </c>
      <c r="H141" s="161" t="s">
        <v>899</v>
      </c>
      <c r="I141" s="229"/>
      <c r="J141" s="211"/>
      <c r="K141" s="198"/>
      <c r="L141" s="184"/>
    </row>
    <row r="142" spans="1:12" x14ac:dyDescent="0.2">
      <c r="A142" s="10">
        <v>21930</v>
      </c>
      <c r="B142" s="11">
        <v>42756</v>
      </c>
      <c r="C142" s="185">
        <v>16</v>
      </c>
      <c r="D142" s="12"/>
      <c r="E142" s="15" t="s">
        <v>417</v>
      </c>
      <c r="I142" s="229"/>
      <c r="J142" s="211"/>
      <c r="K142" s="198"/>
      <c r="L142" s="184"/>
    </row>
    <row r="143" spans="1:12" x14ac:dyDescent="0.2">
      <c r="A143" s="10">
        <v>21931</v>
      </c>
      <c r="B143" s="11">
        <v>42756</v>
      </c>
      <c r="C143" s="185">
        <v>108</v>
      </c>
      <c r="D143" s="12">
        <v>8.23</v>
      </c>
      <c r="E143" s="15" t="s">
        <v>11</v>
      </c>
      <c r="F143" s="21"/>
      <c r="G143" s="22"/>
      <c r="H143" s="10"/>
      <c r="I143" s="229"/>
      <c r="J143" s="211"/>
      <c r="K143" s="198"/>
      <c r="L143" s="184"/>
    </row>
    <row r="144" spans="1:12" x14ac:dyDescent="0.2">
      <c r="A144" s="10">
        <v>21932</v>
      </c>
      <c r="B144" s="11">
        <v>42756</v>
      </c>
      <c r="C144" s="185">
        <v>268.45999999999998</v>
      </c>
      <c r="D144" s="12">
        <v>20.46</v>
      </c>
      <c r="E144" s="15" t="s">
        <v>900</v>
      </c>
      <c r="F144" s="21"/>
      <c r="G144" s="22"/>
      <c r="H144" s="10"/>
      <c r="I144" s="229"/>
      <c r="J144" s="211"/>
      <c r="K144" s="198"/>
      <c r="L144" s="184"/>
    </row>
    <row r="145" spans="1:12" x14ac:dyDescent="0.2">
      <c r="A145" s="10">
        <v>21933</v>
      </c>
      <c r="B145" s="11">
        <v>42756</v>
      </c>
      <c r="C145" s="185">
        <v>51.96</v>
      </c>
      <c r="D145" s="12">
        <v>3.96</v>
      </c>
      <c r="E145" s="13"/>
      <c r="F145" s="18"/>
      <c r="G145" s="19"/>
      <c r="H145" s="12"/>
      <c r="I145" s="229"/>
      <c r="J145" s="211"/>
      <c r="K145" s="198"/>
      <c r="L145" s="184"/>
    </row>
    <row r="146" spans="1:12" x14ac:dyDescent="0.2">
      <c r="A146" s="10">
        <v>21934</v>
      </c>
      <c r="B146" s="11">
        <v>42756</v>
      </c>
      <c r="C146" s="185">
        <v>129.9</v>
      </c>
      <c r="D146" s="12">
        <v>9.9</v>
      </c>
      <c r="E146" s="15" t="s">
        <v>7</v>
      </c>
      <c r="I146" s="229"/>
      <c r="J146" s="211"/>
      <c r="K146" s="198"/>
      <c r="L146" s="184"/>
    </row>
    <row r="147" spans="1:12" x14ac:dyDescent="0.2">
      <c r="A147" s="10">
        <v>21935</v>
      </c>
      <c r="B147" s="11">
        <v>42756</v>
      </c>
      <c r="C147" s="185">
        <v>54.13</v>
      </c>
      <c r="D147" s="12">
        <v>4.13</v>
      </c>
      <c r="E147" s="15" t="s">
        <v>533</v>
      </c>
      <c r="F147" s="21"/>
      <c r="G147" s="22"/>
      <c r="H147" s="10"/>
      <c r="I147" s="229"/>
      <c r="J147" s="211"/>
      <c r="K147" s="198"/>
      <c r="L147" s="184"/>
    </row>
    <row r="148" spans="1:12" x14ac:dyDescent="0.2">
      <c r="A148" s="10">
        <v>21936</v>
      </c>
      <c r="B148" s="11">
        <v>42756</v>
      </c>
      <c r="C148" s="185">
        <v>205</v>
      </c>
      <c r="D148" s="12">
        <v>15.62</v>
      </c>
      <c r="E148" s="17"/>
      <c r="F148" s="18"/>
      <c r="G148" s="19"/>
      <c r="H148" s="12"/>
      <c r="I148" s="229"/>
      <c r="J148" s="211"/>
      <c r="K148" s="198"/>
      <c r="L148" s="184"/>
    </row>
    <row r="149" spans="1:12" x14ac:dyDescent="0.2">
      <c r="A149" s="10">
        <v>21937</v>
      </c>
      <c r="B149" s="11">
        <v>42756</v>
      </c>
      <c r="C149" s="185">
        <v>157.5</v>
      </c>
      <c r="D149" s="12">
        <v>12</v>
      </c>
      <c r="E149" s="17"/>
      <c r="I149" s="229"/>
      <c r="J149" s="211"/>
      <c r="K149" s="198"/>
      <c r="L149" s="184"/>
    </row>
    <row r="150" spans="1:12" x14ac:dyDescent="0.2">
      <c r="A150" s="10">
        <v>21938</v>
      </c>
      <c r="B150" s="11">
        <v>42756</v>
      </c>
      <c r="C150" s="185">
        <v>3.25</v>
      </c>
      <c r="D150" s="12">
        <v>0.25</v>
      </c>
      <c r="E150" s="17"/>
      <c r="I150" s="229"/>
      <c r="J150" s="211"/>
      <c r="K150" s="198"/>
      <c r="L150" s="184"/>
    </row>
    <row r="151" spans="1:12" x14ac:dyDescent="0.2">
      <c r="A151" s="10">
        <v>21939</v>
      </c>
      <c r="B151" s="11">
        <v>42756</v>
      </c>
      <c r="C151" s="185">
        <v>16.239999999999998</v>
      </c>
      <c r="D151" s="12">
        <v>1.24</v>
      </c>
      <c r="E151" s="15" t="s">
        <v>11</v>
      </c>
      <c r="I151" s="229"/>
      <c r="J151" s="211"/>
      <c r="K151" s="198"/>
      <c r="L151" s="184"/>
    </row>
    <row r="152" spans="1:12" x14ac:dyDescent="0.2">
      <c r="A152" s="10">
        <v>21940</v>
      </c>
      <c r="B152" s="11">
        <v>42756</v>
      </c>
      <c r="C152" s="185">
        <v>1</v>
      </c>
      <c r="D152" s="12">
        <v>0.08</v>
      </c>
      <c r="E152" s="17"/>
      <c r="I152" s="229"/>
      <c r="J152" s="211"/>
      <c r="K152" s="198"/>
      <c r="L152" s="184"/>
    </row>
    <row r="153" spans="1:12" x14ac:dyDescent="0.2">
      <c r="A153" s="10">
        <v>21941</v>
      </c>
      <c r="B153" s="11">
        <v>42756</v>
      </c>
      <c r="C153" s="185">
        <v>19.489999999999998</v>
      </c>
      <c r="D153" s="12">
        <v>1.49</v>
      </c>
      <c r="E153" s="15" t="s">
        <v>7</v>
      </c>
      <c r="F153" s="21"/>
      <c r="G153" s="22"/>
      <c r="H153" s="10"/>
      <c r="I153" s="229"/>
      <c r="J153" s="211"/>
      <c r="K153" s="198"/>
      <c r="L153" s="184"/>
    </row>
    <row r="154" spans="1:12" x14ac:dyDescent="0.2">
      <c r="A154" s="10">
        <v>21942</v>
      </c>
      <c r="B154" s="11">
        <v>42756</v>
      </c>
      <c r="C154" s="185">
        <v>-4.33</v>
      </c>
      <c r="D154" s="12">
        <v>-0.33</v>
      </c>
      <c r="E154" s="13"/>
      <c r="F154" s="18"/>
      <c r="G154" s="19"/>
      <c r="H154" s="12"/>
      <c r="I154" s="229"/>
      <c r="J154" s="211"/>
      <c r="K154" s="198"/>
      <c r="L154" s="184"/>
    </row>
    <row r="155" spans="1:12" x14ac:dyDescent="0.2">
      <c r="A155" s="10">
        <v>21943</v>
      </c>
      <c r="B155" s="11">
        <v>42756</v>
      </c>
      <c r="C155" s="185">
        <v>33.56</v>
      </c>
      <c r="D155" s="12">
        <v>2.56</v>
      </c>
      <c r="E155" s="13"/>
      <c r="F155" s="18"/>
      <c r="I155" s="229"/>
      <c r="J155" s="211"/>
      <c r="K155" s="198"/>
      <c r="L155" s="184"/>
    </row>
    <row r="156" spans="1:12" x14ac:dyDescent="0.2">
      <c r="A156" s="10">
        <v>21944</v>
      </c>
      <c r="B156" s="11">
        <v>42756</v>
      </c>
      <c r="C156" s="185">
        <v>36.81</v>
      </c>
      <c r="D156" s="12">
        <v>2.81</v>
      </c>
      <c r="E156" s="15" t="s">
        <v>533</v>
      </c>
      <c r="H156" s="12"/>
      <c r="I156" s="229"/>
      <c r="J156" s="211"/>
      <c r="K156" s="198"/>
      <c r="L156" s="184"/>
    </row>
    <row r="157" spans="1:12" x14ac:dyDescent="0.2">
      <c r="A157" s="10">
        <v>21945</v>
      </c>
      <c r="B157" s="11">
        <v>42757</v>
      </c>
      <c r="C157" s="185">
        <v>25</v>
      </c>
      <c r="D157" s="12"/>
      <c r="E157" s="15" t="s">
        <v>87</v>
      </c>
      <c r="F157" s="134">
        <f>+C142+C143+170+C146+C151+C153+100</f>
        <v>559.63</v>
      </c>
      <c r="G157" s="123">
        <f>+F157*0.97831</f>
        <v>547.49162530000001</v>
      </c>
      <c r="H157" s="161" t="s">
        <v>901</v>
      </c>
      <c r="I157" s="229"/>
      <c r="J157" s="211"/>
      <c r="K157" s="198"/>
      <c r="L157" s="184"/>
    </row>
    <row r="158" spans="1:12" x14ac:dyDescent="0.2">
      <c r="A158" s="10">
        <v>21946</v>
      </c>
      <c r="B158" s="11">
        <v>42758</v>
      </c>
      <c r="C158" s="185">
        <v>29.4</v>
      </c>
      <c r="D158" s="12"/>
      <c r="E158" s="15" t="s">
        <v>902</v>
      </c>
      <c r="F158" s="21"/>
      <c r="G158" s="22"/>
      <c r="H158" s="10"/>
      <c r="I158" s="229"/>
      <c r="J158" s="211"/>
      <c r="K158" s="198"/>
      <c r="L158" s="184"/>
    </row>
    <row r="159" spans="1:12" x14ac:dyDescent="0.2">
      <c r="A159" s="10">
        <v>21947</v>
      </c>
      <c r="B159" s="11">
        <v>42758</v>
      </c>
      <c r="C159" s="185">
        <v>25.8</v>
      </c>
      <c r="D159" s="12"/>
      <c r="E159" s="15" t="s">
        <v>902</v>
      </c>
      <c r="I159" s="229"/>
      <c r="J159" s="211"/>
      <c r="K159" s="198"/>
      <c r="L159" s="184"/>
    </row>
    <row r="160" spans="1:12" x14ac:dyDescent="0.2">
      <c r="A160" s="10">
        <v>21948</v>
      </c>
      <c r="B160" s="11">
        <v>42758</v>
      </c>
      <c r="C160" s="185">
        <v>8</v>
      </c>
      <c r="D160" s="12"/>
      <c r="E160" s="17"/>
      <c r="F160" s="18"/>
      <c r="G160" s="19"/>
      <c r="H160" s="12"/>
      <c r="I160" s="229"/>
      <c r="J160" s="211"/>
      <c r="K160" s="198"/>
      <c r="L160" s="184"/>
    </row>
    <row r="161" spans="1:12" x14ac:dyDescent="0.2">
      <c r="A161" s="10">
        <v>21949</v>
      </c>
      <c r="B161" s="11">
        <v>42758</v>
      </c>
      <c r="C161" s="185">
        <v>21.599999999999998</v>
      </c>
      <c r="D161" s="12">
        <v>1.65</v>
      </c>
      <c r="E161" s="15" t="s">
        <v>7</v>
      </c>
      <c r="F161" s="21"/>
      <c r="G161" s="22"/>
      <c r="H161" s="10"/>
      <c r="I161" s="229"/>
      <c r="J161" s="211"/>
      <c r="K161" s="198"/>
      <c r="L161" s="184"/>
    </row>
    <row r="162" spans="1:12" x14ac:dyDescent="0.2">
      <c r="A162" s="10">
        <v>21950</v>
      </c>
      <c r="B162" s="11">
        <v>42758</v>
      </c>
      <c r="C162" s="185">
        <v>16.239999999999998</v>
      </c>
      <c r="D162" s="12">
        <v>1.24</v>
      </c>
      <c r="E162" s="15" t="s">
        <v>533</v>
      </c>
      <c r="F162" s="21"/>
      <c r="G162" s="22"/>
      <c r="H162" s="10"/>
      <c r="I162" s="229"/>
      <c r="J162" s="211"/>
      <c r="K162" s="198"/>
      <c r="L162" s="184"/>
    </row>
    <row r="163" spans="1:12" x14ac:dyDescent="0.2">
      <c r="A163" s="10">
        <v>21951</v>
      </c>
      <c r="B163" s="11">
        <v>42758</v>
      </c>
      <c r="C163" s="185">
        <v>47.63</v>
      </c>
      <c r="D163" s="12">
        <v>3.63</v>
      </c>
      <c r="E163" s="15" t="s">
        <v>533</v>
      </c>
      <c r="F163" s="21"/>
      <c r="G163" s="22"/>
      <c r="H163" s="10"/>
      <c r="I163" s="229"/>
      <c r="J163" s="211"/>
      <c r="K163" s="198"/>
      <c r="L163" s="184"/>
    </row>
    <row r="164" spans="1:12" x14ac:dyDescent="0.2">
      <c r="A164" s="10">
        <v>21952</v>
      </c>
      <c r="B164" s="11">
        <v>42758</v>
      </c>
      <c r="C164" s="185">
        <v>40</v>
      </c>
      <c r="D164" s="12"/>
      <c r="E164" s="15" t="s">
        <v>533</v>
      </c>
      <c r="F164" s="21"/>
      <c r="G164" s="22"/>
      <c r="H164" s="10"/>
      <c r="I164" s="229"/>
      <c r="J164" s="211"/>
      <c r="K164" s="198"/>
      <c r="L164" s="184"/>
    </row>
    <row r="165" spans="1:12" x14ac:dyDescent="0.2">
      <c r="A165" s="10">
        <v>21953</v>
      </c>
      <c r="B165" s="11">
        <v>42758</v>
      </c>
      <c r="C165" s="185">
        <v>10</v>
      </c>
      <c r="D165" s="12"/>
      <c r="E165" s="13" t="s">
        <v>903</v>
      </c>
      <c r="I165" s="229"/>
      <c r="J165" s="211"/>
      <c r="K165" s="198"/>
      <c r="L165" s="184"/>
    </row>
    <row r="166" spans="1:12" x14ac:dyDescent="0.2">
      <c r="A166" s="10">
        <v>21954</v>
      </c>
      <c r="B166" s="11">
        <v>42758</v>
      </c>
      <c r="C166" s="185"/>
      <c r="D166" s="12"/>
      <c r="E166" s="15" t="s">
        <v>39</v>
      </c>
      <c r="I166" s="229"/>
      <c r="J166" s="211"/>
      <c r="K166" s="198"/>
      <c r="L166" s="184"/>
    </row>
    <row r="167" spans="1:12" x14ac:dyDescent="0.2">
      <c r="A167" s="10">
        <v>21955</v>
      </c>
      <c r="B167" s="11">
        <v>42758</v>
      </c>
      <c r="C167" s="185">
        <v>87.8</v>
      </c>
      <c r="D167" s="12">
        <v>6.69</v>
      </c>
      <c r="E167" s="15"/>
      <c r="I167" s="229"/>
      <c r="J167" s="211"/>
      <c r="K167" s="198"/>
      <c r="L167" s="184"/>
    </row>
    <row r="168" spans="1:12" x14ac:dyDescent="0.2">
      <c r="A168" s="10">
        <v>21956</v>
      </c>
      <c r="B168" s="11">
        <v>42758</v>
      </c>
      <c r="C168" s="185">
        <v>8.66</v>
      </c>
      <c r="D168" s="12">
        <v>0.66</v>
      </c>
      <c r="E168" s="17"/>
      <c r="I168" s="229"/>
      <c r="J168" s="211"/>
      <c r="K168" s="198"/>
      <c r="L168" s="184"/>
    </row>
    <row r="169" spans="1:12" x14ac:dyDescent="0.2">
      <c r="A169" s="10">
        <v>21957</v>
      </c>
      <c r="B169" s="11">
        <v>42758</v>
      </c>
      <c r="C169" s="185">
        <v>169.89999999999998</v>
      </c>
      <c r="D169" s="12">
        <v>12.95</v>
      </c>
      <c r="E169" s="15" t="s">
        <v>11</v>
      </c>
      <c r="I169" s="229"/>
      <c r="J169" s="211"/>
      <c r="K169" s="198"/>
      <c r="L169" s="184"/>
    </row>
    <row r="170" spans="1:12" x14ac:dyDescent="0.2">
      <c r="A170" s="10">
        <v>21958</v>
      </c>
      <c r="B170" s="11">
        <v>42758</v>
      </c>
      <c r="C170" s="185">
        <v>115.44999999999999</v>
      </c>
      <c r="D170" s="12"/>
      <c r="E170" s="13" t="s">
        <v>39</v>
      </c>
      <c r="I170" s="229"/>
      <c r="J170" s="211"/>
      <c r="K170" s="198"/>
      <c r="L170" s="184"/>
    </row>
    <row r="171" spans="1:12" x14ac:dyDescent="0.2">
      <c r="A171" s="10">
        <v>21959</v>
      </c>
      <c r="B171" s="11">
        <v>42758</v>
      </c>
      <c r="C171" s="185">
        <v>40</v>
      </c>
      <c r="D171" s="12"/>
      <c r="E171" s="15" t="s">
        <v>16</v>
      </c>
      <c r="F171" s="21"/>
      <c r="G171" s="22"/>
      <c r="H171" s="10"/>
      <c r="I171" s="229"/>
      <c r="J171" s="211"/>
      <c r="K171" s="198"/>
      <c r="L171" s="184"/>
    </row>
    <row r="172" spans="1:12" x14ac:dyDescent="0.2">
      <c r="A172" s="10">
        <v>21960</v>
      </c>
      <c r="B172" s="11">
        <v>42758</v>
      </c>
      <c r="C172" s="185">
        <v>16.5</v>
      </c>
      <c r="D172" s="12"/>
      <c r="E172" s="13" t="s">
        <v>39</v>
      </c>
      <c r="F172" s="18"/>
      <c r="G172" s="19"/>
      <c r="H172" s="12"/>
      <c r="I172" s="229"/>
      <c r="J172" s="211"/>
      <c r="K172" s="198"/>
      <c r="L172" s="184"/>
    </row>
    <row r="173" spans="1:12" x14ac:dyDescent="0.2">
      <c r="A173" s="10">
        <v>21961</v>
      </c>
      <c r="B173" s="11">
        <v>42758</v>
      </c>
      <c r="C173" s="185">
        <v>64.95</v>
      </c>
      <c r="D173" s="12">
        <v>4.95</v>
      </c>
      <c r="E173" s="17"/>
      <c r="F173" s="18"/>
      <c r="G173" s="19"/>
      <c r="H173" s="12"/>
      <c r="I173" s="229"/>
      <c r="J173" s="211"/>
      <c r="K173" s="198"/>
      <c r="L173" s="184"/>
    </row>
    <row r="174" spans="1:12" x14ac:dyDescent="0.2">
      <c r="A174" s="10">
        <v>21962</v>
      </c>
      <c r="B174" s="11">
        <v>42758</v>
      </c>
      <c r="C174" s="185">
        <v>8.66</v>
      </c>
      <c r="D174" s="12">
        <v>0.66</v>
      </c>
      <c r="E174" s="17"/>
      <c r="I174" s="229"/>
      <c r="J174" s="211"/>
      <c r="K174" s="198"/>
      <c r="L174" s="184"/>
    </row>
    <row r="175" spans="1:12" x14ac:dyDescent="0.2">
      <c r="A175" s="10">
        <v>21963</v>
      </c>
      <c r="B175" s="11">
        <v>42758</v>
      </c>
      <c r="C175" s="185">
        <v>57.37</v>
      </c>
      <c r="D175" s="12">
        <v>4.37</v>
      </c>
      <c r="E175" s="15" t="s">
        <v>533</v>
      </c>
      <c r="I175" s="229"/>
      <c r="J175" s="211"/>
      <c r="K175" s="198"/>
      <c r="L175" s="184"/>
    </row>
    <row r="176" spans="1:12" x14ac:dyDescent="0.2">
      <c r="A176" s="10">
        <v>21964</v>
      </c>
      <c r="B176" s="11">
        <v>42758</v>
      </c>
      <c r="C176" s="185">
        <v>144.74</v>
      </c>
      <c r="D176" s="12">
        <v>11.03</v>
      </c>
      <c r="E176" s="17"/>
      <c r="F176" s="134">
        <f>+C161+C158+C159+C169</f>
        <v>246.7</v>
      </c>
      <c r="G176" s="123">
        <f>+F176*0.97831</f>
        <v>241.34907699999999</v>
      </c>
      <c r="H176" s="161" t="s">
        <v>904</v>
      </c>
      <c r="I176" s="229"/>
      <c r="J176" s="211"/>
      <c r="K176" s="198"/>
      <c r="L176" s="184"/>
    </row>
    <row r="177" spans="1:12" x14ac:dyDescent="0.2">
      <c r="A177" s="10">
        <v>21965</v>
      </c>
      <c r="B177" s="11">
        <v>42759</v>
      </c>
      <c r="C177" s="185">
        <v>10.780000000000001</v>
      </c>
      <c r="D177" s="12">
        <v>0.82</v>
      </c>
      <c r="E177" s="17"/>
      <c r="F177" s="18"/>
      <c r="G177" s="19"/>
      <c r="H177" s="12"/>
      <c r="I177" s="229"/>
      <c r="J177" s="211"/>
      <c r="K177" s="198"/>
      <c r="L177" s="184"/>
    </row>
    <row r="178" spans="1:12" x14ac:dyDescent="0.2">
      <c r="A178" s="10">
        <v>21966</v>
      </c>
      <c r="B178" s="11">
        <v>42759</v>
      </c>
      <c r="C178" s="185">
        <v>373.46</v>
      </c>
      <c r="D178" s="12">
        <v>28.46</v>
      </c>
      <c r="E178" s="15"/>
      <c r="F178" s="21"/>
      <c r="G178" s="22"/>
      <c r="H178" s="10"/>
      <c r="I178" s="229"/>
      <c r="J178" s="211"/>
      <c r="K178" s="198"/>
      <c r="L178" s="184"/>
    </row>
    <row r="179" spans="1:12" x14ac:dyDescent="0.2">
      <c r="A179" s="10">
        <v>21967</v>
      </c>
      <c r="B179" s="11">
        <v>42759</v>
      </c>
      <c r="C179" s="185">
        <v>37.89</v>
      </c>
      <c r="D179" s="12">
        <v>2.89</v>
      </c>
      <c r="E179" s="13"/>
      <c r="F179" s="18"/>
      <c r="G179" s="19"/>
      <c r="H179" s="12"/>
      <c r="I179" s="229"/>
      <c r="J179" s="211"/>
      <c r="K179" s="198"/>
      <c r="L179" s="184"/>
    </row>
    <row r="180" spans="1:12" x14ac:dyDescent="0.2">
      <c r="A180" s="10">
        <v>21968</v>
      </c>
      <c r="B180" s="11">
        <v>42759</v>
      </c>
      <c r="C180" s="185">
        <v>200</v>
      </c>
      <c r="D180" s="12">
        <v>15.24</v>
      </c>
      <c r="E180" s="13"/>
      <c r="F180" s="18"/>
      <c r="G180" s="19"/>
      <c r="H180" s="12"/>
      <c r="I180" s="229"/>
      <c r="J180" s="211"/>
      <c r="K180" s="198"/>
      <c r="L180" s="184"/>
    </row>
    <row r="181" spans="1:12" x14ac:dyDescent="0.2">
      <c r="A181" s="10">
        <v>21969</v>
      </c>
      <c r="B181" s="11">
        <v>42759</v>
      </c>
      <c r="C181" s="185">
        <v>29.23</v>
      </c>
      <c r="D181" s="12">
        <v>2.23</v>
      </c>
      <c r="E181" s="13"/>
      <c r="F181" s="18"/>
      <c r="G181" s="19"/>
      <c r="H181" s="12"/>
      <c r="I181" s="229"/>
      <c r="J181" s="211"/>
      <c r="K181" s="198"/>
      <c r="L181" s="184"/>
    </row>
    <row r="182" spans="1:12" x14ac:dyDescent="0.2">
      <c r="A182" s="10">
        <v>21970</v>
      </c>
      <c r="B182" s="11">
        <v>42759</v>
      </c>
      <c r="C182" s="185">
        <v>36.370000000000005</v>
      </c>
      <c r="D182" s="12">
        <v>2.77</v>
      </c>
      <c r="E182" s="15" t="s">
        <v>533</v>
      </c>
      <c r="F182" s="21"/>
      <c r="G182" s="22"/>
      <c r="H182" s="10"/>
      <c r="I182" s="229"/>
      <c r="J182" s="211"/>
      <c r="K182" s="198"/>
      <c r="L182" s="184"/>
    </row>
    <row r="183" spans="1:12" x14ac:dyDescent="0.2">
      <c r="A183" s="10">
        <v>21971</v>
      </c>
      <c r="B183" s="11">
        <v>42759</v>
      </c>
      <c r="C183" s="185">
        <v>62.55</v>
      </c>
      <c r="D183" s="12"/>
      <c r="E183" s="15" t="s">
        <v>82</v>
      </c>
      <c r="I183" s="229"/>
      <c r="J183" s="211"/>
      <c r="K183" s="198"/>
      <c r="L183" s="184"/>
    </row>
    <row r="184" spans="1:12" x14ac:dyDescent="0.2">
      <c r="A184" s="10">
        <v>21972</v>
      </c>
      <c r="B184" s="11">
        <v>42759</v>
      </c>
      <c r="C184" s="185">
        <v>234.9</v>
      </c>
      <c r="D184" s="12">
        <v>17.899999999999999</v>
      </c>
      <c r="E184" s="15" t="s">
        <v>905</v>
      </c>
      <c r="F184" s="21"/>
      <c r="G184" s="22"/>
      <c r="H184" s="10"/>
      <c r="I184" s="229"/>
      <c r="J184" s="211"/>
      <c r="K184" s="198"/>
      <c r="L184" s="184"/>
    </row>
    <row r="185" spans="1:12" x14ac:dyDescent="0.2">
      <c r="A185" s="10">
        <v>21973</v>
      </c>
      <c r="B185" s="11">
        <v>42759</v>
      </c>
      <c r="C185" s="185">
        <v>25.44</v>
      </c>
      <c r="D185" s="12">
        <v>1.94</v>
      </c>
      <c r="E185" s="15" t="s">
        <v>21</v>
      </c>
      <c r="F185" s="21"/>
      <c r="G185" s="22"/>
      <c r="H185" s="10"/>
      <c r="I185" s="229"/>
      <c r="J185" s="211"/>
      <c r="K185" s="198"/>
      <c r="L185" s="184"/>
    </row>
    <row r="186" spans="1:12" x14ac:dyDescent="0.2">
      <c r="A186" s="10">
        <v>21974</v>
      </c>
      <c r="B186" s="11">
        <v>42759</v>
      </c>
      <c r="C186" s="185">
        <v>82</v>
      </c>
      <c r="D186" s="12"/>
      <c r="E186" s="15" t="s">
        <v>25</v>
      </c>
      <c r="F186" s="20">
        <v>0</v>
      </c>
      <c r="G186" s="20">
        <f>+F186*0.97831</f>
        <v>0</v>
      </c>
      <c r="H186" s="161" t="s">
        <v>906</v>
      </c>
      <c r="I186" s="229"/>
      <c r="J186" s="211"/>
      <c r="K186" s="198"/>
      <c r="L186" s="184"/>
    </row>
    <row r="187" spans="1:12" x14ac:dyDescent="0.2">
      <c r="A187" s="10">
        <v>21975</v>
      </c>
      <c r="B187" s="11">
        <v>42760</v>
      </c>
      <c r="C187" s="185">
        <v>7.5200000000000005</v>
      </c>
      <c r="D187" s="12">
        <v>0.56999999999999995</v>
      </c>
      <c r="E187" s="15" t="s">
        <v>11</v>
      </c>
      <c r="F187" s="21"/>
      <c r="G187" s="22"/>
      <c r="H187" s="10"/>
      <c r="I187" s="229"/>
      <c r="J187" s="211"/>
      <c r="K187" s="198"/>
      <c r="L187" s="184"/>
    </row>
    <row r="188" spans="1:12" x14ac:dyDescent="0.2">
      <c r="A188" s="10">
        <v>21976</v>
      </c>
      <c r="B188" s="11">
        <v>42760</v>
      </c>
      <c r="C188" s="185">
        <v>280.91000000000003</v>
      </c>
      <c r="D188" s="12">
        <v>21.41</v>
      </c>
      <c r="E188" s="15" t="s">
        <v>533</v>
      </c>
      <c r="F188" s="21"/>
      <c r="G188" s="22"/>
      <c r="H188" s="10"/>
      <c r="I188" s="229"/>
      <c r="J188" s="211"/>
      <c r="K188" s="198"/>
      <c r="L188" s="184"/>
    </row>
    <row r="189" spans="1:12" x14ac:dyDescent="0.2">
      <c r="A189" s="10">
        <v>21977</v>
      </c>
      <c r="B189" s="11">
        <v>42760</v>
      </c>
      <c r="C189" s="185">
        <v>29.23</v>
      </c>
      <c r="D189" s="12">
        <v>2.23</v>
      </c>
      <c r="E189" s="17"/>
      <c r="F189" s="18"/>
      <c r="G189" s="19"/>
      <c r="H189" s="12"/>
      <c r="I189" s="229"/>
      <c r="J189" s="211"/>
      <c r="K189" s="198"/>
      <c r="L189" s="184"/>
    </row>
    <row r="190" spans="1:12" x14ac:dyDescent="0.2">
      <c r="A190" s="10">
        <v>21978</v>
      </c>
      <c r="B190" s="11">
        <v>42760</v>
      </c>
      <c r="C190" s="185">
        <v>30</v>
      </c>
      <c r="D190" s="12"/>
      <c r="E190" s="13" t="s">
        <v>8</v>
      </c>
      <c r="I190" s="229"/>
      <c r="J190" s="211"/>
      <c r="K190" s="198"/>
      <c r="L190" s="184"/>
    </row>
    <row r="191" spans="1:12" x14ac:dyDescent="0.2">
      <c r="A191" s="10">
        <v>21979</v>
      </c>
      <c r="B191" s="11">
        <v>42760</v>
      </c>
      <c r="C191" s="185">
        <v>27.06</v>
      </c>
      <c r="D191" s="12">
        <v>2.06</v>
      </c>
      <c r="E191" s="15" t="s">
        <v>533</v>
      </c>
      <c r="I191" s="229"/>
      <c r="J191" s="211"/>
      <c r="K191" s="198"/>
      <c r="L191" s="184"/>
    </row>
    <row r="192" spans="1:12" x14ac:dyDescent="0.2">
      <c r="A192" s="10">
        <v>21980</v>
      </c>
      <c r="B192" s="11">
        <v>42760</v>
      </c>
      <c r="C192" s="185">
        <v>8.66</v>
      </c>
      <c r="D192" s="12">
        <v>0.66</v>
      </c>
      <c r="E192" s="17"/>
      <c r="F192" s="18"/>
      <c r="G192" s="19"/>
      <c r="H192" s="12"/>
      <c r="I192" s="229"/>
      <c r="J192" s="211"/>
      <c r="K192" s="198"/>
      <c r="L192" s="184"/>
    </row>
    <row r="193" spans="1:12" x14ac:dyDescent="0.2">
      <c r="A193" s="10">
        <v>21981</v>
      </c>
      <c r="B193" s="11">
        <v>42760</v>
      </c>
      <c r="C193" s="185">
        <v>130</v>
      </c>
      <c r="D193" s="12">
        <v>9.91</v>
      </c>
      <c r="E193" s="15"/>
      <c r="F193" s="21"/>
      <c r="G193" s="22"/>
      <c r="H193" s="10"/>
      <c r="I193" s="229"/>
      <c r="J193" s="211"/>
      <c r="K193" s="198"/>
      <c r="L193" s="184"/>
    </row>
    <row r="194" spans="1:12" x14ac:dyDescent="0.2">
      <c r="A194" s="10">
        <v>21982</v>
      </c>
      <c r="B194" s="11">
        <v>42760</v>
      </c>
      <c r="C194" s="185">
        <v>106.41</v>
      </c>
      <c r="D194" s="12">
        <v>8.11</v>
      </c>
      <c r="E194" s="15" t="s">
        <v>533</v>
      </c>
      <c r="F194" s="21"/>
      <c r="G194" s="22"/>
      <c r="H194" s="10"/>
      <c r="I194" s="229"/>
      <c r="J194" s="211"/>
      <c r="K194" s="198"/>
      <c r="L194" s="184"/>
    </row>
    <row r="195" spans="1:12" x14ac:dyDescent="0.2">
      <c r="A195" s="10">
        <v>21983</v>
      </c>
      <c r="B195" s="11">
        <v>42760</v>
      </c>
      <c r="C195" s="185">
        <v>250</v>
      </c>
      <c r="D195" s="12">
        <v>19.05</v>
      </c>
      <c r="E195" s="13"/>
      <c r="F195" s="18"/>
      <c r="G195" s="19"/>
      <c r="H195" s="12"/>
      <c r="I195" s="229"/>
      <c r="J195" s="211"/>
      <c r="K195" s="198"/>
      <c r="L195" s="184"/>
    </row>
    <row r="196" spans="1:12" x14ac:dyDescent="0.2">
      <c r="A196" s="10">
        <v>21984</v>
      </c>
      <c r="B196" s="11">
        <v>42760</v>
      </c>
      <c r="C196" s="185">
        <v>200</v>
      </c>
      <c r="D196" s="12"/>
      <c r="E196" s="15" t="s">
        <v>372</v>
      </c>
      <c r="F196" s="21"/>
      <c r="G196" s="22"/>
      <c r="H196" s="10"/>
      <c r="I196" s="229"/>
      <c r="J196" s="211"/>
      <c r="K196" s="198"/>
      <c r="L196" s="184"/>
    </row>
    <row r="197" spans="1:12" x14ac:dyDescent="0.2">
      <c r="A197" s="10">
        <v>21985</v>
      </c>
      <c r="B197" s="11">
        <v>42760</v>
      </c>
      <c r="C197" s="185">
        <v>50</v>
      </c>
      <c r="D197" s="12"/>
      <c r="E197" s="13" t="s">
        <v>907</v>
      </c>
      <c r="F197" s="134">
        <f>+C187+C196</f>
        <v>207.52</v>
      </c>
      <c r="G197" s="123">
        <f>+F197*0.97831</f>
        <v>203.01889120000001</v>
      </c>
      <c r="H197" s="161" t="s">
        <v>908</v>
      </c>
      <c r="I197" s="229"/>
      <c r="J197" s="211"/>
      <c r="K197" s="198"/>
      <c r="L197" s="184"/>
    </row>
    <row r="198" spans="1:12" x14ac:dyDescent="0.2">
      <c r="A198" s="10">
        <v>21986</v>
      </c>
      <c r="B198" s="11">
        <v>42761</v>
      </c>
      <c r="C198" s="185">
        <v>175</v>
      </c>
      <c r="D198" s="12"/>
      <c r="E198" s="13" t="s">
        <v>909</v>
      </c>
      <c r="F198" s="18"/>
      <c r="G198" s="19"/>
      <c r="H198" s="12"/>
      <c r="I198" s="229"/>
      <c r="J198" s="211"/>
      <c r="K198" s="198"/>
      <c r="L198" s="184"/>
    </row>
    <row r="199" spans="1:12" x14ac:dyDescent="0.2">
      <c r="A199" s="10">
        <v>21987</v>
      </c>
      <c r="B199" s="11">
        <v>42761</v>
      </c>
      <c r="C199" s="185">
        <v>6.5</v>
      </c>
      <c r="D199" s="12">
        <v>0.5</v>
      </c>
      <c r="E199" s="17"/>
      <c r="F199" s="18"/>
      <c r="G199" s="19"/>
      <c r="I199" s="229"/>
      <c r="J199" s="211"/>
      <c r="K199" s="198"/>
      <c r="L199" s="184"/>
    </row>
    <row r="200" spans="1:12" x14ac:dyDescent="0.2">
      <c r="A200" s="10">
        <v>21988</v>
      </c>
      <c r="B200" s="11">
        <v>42761</v>
      </c>
      <c r="C200" s="185">
        <v>10.83</v>
      </c>
      <c r="D200" s="12">
        <v>0.83</v>
      </c>
      <c r="E200" s="17"/>
      <c r="F200" s="18"/>
      <c r="G200" s="19"/>
      <c r="H200" s="12"/>
      <c r="I200" s="229"/>
      <c r="J200" s="211"/>
      <c r="K200" s="198"/>
      <c r="L200" s="184"/>
    </row>
    <row r="201" spans="1:12" x14ac:dyDescent="0.2">
      <c r="A201" s="10">
        <v>21989</v>
      </c>
      <c r="B201" s="11">
        <v>42761</v>
      </c>
      <c r="C201" s="185">
        <v>97.43</v>
      </c>
      <c r="D201" s="12">
        <v>7.43</v>
      </c>
      <c r="E201" s="17"/>
      <c r="F201" s="18"/>
      <c r="G201" s="19"/>
      <c r="H201" s="12"/>
      <c r="I201" s="229"/>
      <c r="J201" s="211"/>
      <c r="K201" s="198"/>
      <c r="L201" s="184"/>
    </row>
    <row r="202" spans="1:12" x14ac:dyDescent="0.2">
      <c r="A202" s="10">
        <v>21990</v>
      </c>
      <c r="B202" s="11">
        <v>42761</v>
      </c>
      <c r="C202" s="185">
        <v>278.74</v>
      </c>
      <c r="D202" s="12">
        <v>21.24</v>
      </c>
      <c r="E202" s="15" t="s">
        <v>11</v>
      </c>
      <c r="F202" s="21"/>
      <c r="G202" s="22"/>
      <c r="H202" s="10"/>
      <c r="I202" s="229"/>
      <c r="J202" s="211"/>
      <c r="K202" s="198"/>
      <c r="L202" s="184"/>
    </row>
    <row r="203" spans="1:12" x14ac:dyDescent="0.2">
      <c r="A203" s="10">
        <v>21991</v>
      </c>
      <c r="B203" s="11">
        <v>42761</v>
      </c>
      <c r="C203" s="185">
        <v>13.649999999999999</v>
      </c>
      <c r="D203" s="12">
        <v>1.04</v>
      </c>
      <c r="E203" s="17"/>
      <c r="I203" s="229"/>
      <c r="J203" s="211"/>
      <c r="K203" s="198"/>
      <c r="L203" s="184"/>
    </row>
    <row r="204" spans="1:12" x14ac:dyDescent="0.2">
      <c r="A204" s="10">
        <v>21992</v>
      </c>
      <c r="B204" s="11">
        <v>42761</v>
      </c>
      <c r="C204" s="185">
        <v>16.239999999999998</v>
      </c>
      <c r="D204" s="12">
        <v>1.24</v>
      </c>
      <c r="E204" s="17"/>
      <c r="F204" s="18"/>
      <c r="G204" s="19"/>
      <c r="H204" s="12"/>
      <c r="I204" s="229"/>
      <c r="J204" s="211"/>
      <c r="K204" s="198"/>
      <c r="L204" s="184"/>
    </row>
    <row r="205" spans="1:12" x14ac:dyDescent="0.2">
      <c r="A205" s="10">
        <v>21993</v>
      </c>
      <c r="B205" s="11">
        <v>42761</v>
      </c>
      <c r="C205" s="185">
        <v>58.46</v>
      </c>
      <c r="D205" s="12">
        <v>4.46</v>
      </c>
      <c r="E205" s="17"/>
      <c r="F205" s="18"/>
      <c r="G205" s="19"/>
      <c r="H205" s="12"/>
      <c r="I205" s="229"/>
      <c r="J205" s="211"/>
      <c r="K205" s="198"/>
      <c r="L205" s="184"/>
    </row>
    <row r="206" spans="1:12" x14ac:dyDescent="0.2">
      <c r="A206" s="10">
        <v>21994</v>
      </c>
      <c r="B206" s="11">
        <v>42761</v>
      </c>
      <c r="C206" s="185">
        <v>452.16999999999996</v>
      </c>
      <c r="D206" s="12">
        <v>34.46</v>
      </c>
      <c r="E206" s="15" t="s">
        <v>533</v>
      </c>
      <c r="I206" s="229"/>
      <c r="J206" s="211"/>
      <c r="K206" s="198"/>
      <c r="L206" s="184"/>
    </row>
    <row r="207" spans="1:12" x14ac:dyDescent="0.2">
      <c r="A207" s="10">
        <v>21995</v>
      </c>
      <c r="B207" s="11">
        <v>42761</v>
      </c>
      <c r="C207" s="185">
        <v>43.3</v>
      </c>
      <c r="D207" s="12">
        <v>3.3</v>
      </c>
      <c r="E207" s="17"/>
      <c r="F207" s="134">
        <f>98.46+C202</f>
        <v>377.2</v>
      </c>
      <c r="G207" s="123">
        <f>+F207*0.97831</f>
        <v>369.01853199999999</v>
      </c>
      <c r="H207" s="161" t="s">
        <v>910</v>
      </c>
      <c r="I207" s="229"/>
      <c r="J207" s="211"/>
      <c r="K207" s="198"/>
      <c r="L207" s="184"/>
    </row>
    <row r="208" spans="1:12" x14ac:dyDescent="0.2">
      <c r="A208" s="10">
        <v>21996</v>
      </c>
      <c r="B208" s="11">
        <v>42762</v>
      </c>
      <c r="C208" s="185">
        <v>59.54</v>
      </c>
      <c r="D208" s="12">
        <v>4.54</v>
      </c>
      <c r="E208" s="15" t="s">
        <v>533</v>
      </c>
      <c r="F208" s="21"/>
      <c r="G208" s="22"/>
      <c r="H208" s="10"/>
      <c r="I208" s="229"/>
      <c r="J208" s="211"/>
      <c r="K208" s="198"/>
      <c r="L208" s="184"/>
    </row>
    <row r="209" spans="1:12" x14ac:dyDescent="0.2">
      <c r="A209" s="10">
        <v>21997</v>
      </c>
      <c r="B209" s="11">
        <v>42762</v>
      </c>
      <c r="C209" s="185">
        <v>27.009999999999998</v>
      </c>
      <c r="D209" s="12">
        <v>2.06</v>
      </c>
      <c r="E209" s="17"/>
      <c r="I209" s="229"/>
      <c r="J209" s="211"/>
      <c r="K209" s="198"/>
      <c r="L209" s="184"/>
    </row>
    <row r="210" spans="1:12" x14ac:dyDescent="0.2">
      <c r="A210" s="10">
        <v>21998</v>
      </c>
      <c r="B210" s="11">
        <v>42762</v>
      </c>
      <c r="C210" s="185">
        <v>92.01</v>
      </c>
      <c r="D210" s="12">
        <v>7.01</v>
      </c>
      <c r="E210" s="15" t="s">
        <v>533</v>
      </c>
      <c r="F210" s="21"/>
      <c r="G210" s="22"/>
      <c r="H210" s="10"/>
      <c r="I210" s="229"/>
      <c r="J210" s="211"/>
      <c r="K210" s="198"/>
      <c r="L210" s="184"/>
    </row>
    <row r="211" spans="1:12" x14ac:dyDescent="0.2">
      <c r="A211" s="10">
        <v>21999</v>
      </c>
      <c r="B211" s="11">
        <v>42762</v>
      </c>
      <c r="C211" s="185">
        <v>215</v>
      </c>
      <c r="D211" s="12">
        <v>16.39</v>
      </c>
      <c r="E211" s="17"/>
      <c r="I211" s="229"/>
      <c r="J211" s="211"/>
      <c r="K211" s="198"/>
      <c r="L211" s="184"/>
    </row>
    <row r="212" spans="1:12" x14ac:dyDescent="0.2">
      <c r="A212" s="10">
        <v>22000</v>
      </c>
      <c r="B212" s="11">
        <v>42762</v>
      </c>
      <c r="C212" s="185">
        <v>15.16</v>
      </c>
      <c r="D212" s="12">
        <v>1.1599999999999999</v>
      </c>
      <c r="E212" s="17"/>
      <c r="F212" s="18"/>
      <c r="G212" s="19"/>
      <c r="H212" s="12"/>
      <c r="I212" s="229"/>
      <c r="J212" s="211"/>
      <c r="K212" s="198"/>
      <c r="L212" s="184"/>
    </row>
    <row r="213" spans="1:12" x14ac:dyDescent="0.2">
      <c r="A213" s="10">
        <v>22001</v>
      </c>
      <c r="B213" s="11">
        <v>42762</v>
      </c>
      <c r="C213" s="185">
        <v>509.64</v>
      </c>
      <c r="D213" s="12">
        <v>38.840000000000003</v>
      </c>
      <c r="E213" s="15" t="s">
        <v>911</v>
      </c>
      <c r="F213" s="21"/>
      <c r="G213" s="22"/>
      <c r="H213" s="10"/>
      <c r="I213" s="229"/>
      <c r="J213" s="211"/>
      <c r="K213" s="198"/>
      <c r="L213" s="184"/>
    </row>
    <row r="214" spans="1:12" x14ac:dyDescent="0.2">
      <c r="A214" s="10">
        <v>22002</v>
      </c>
      <c r="B214" s="11">
        <v>42762</v>
      </c>
      <c r="C214" s="185">
        <v>535.36</v>
      </c>
      <c r="D214" s="12">
        <v>40.799999999999997</v>
      </c>
      <c r="E214" s="15" t="s">
        <v>912</v>
      </c>
      <c r="I214" s="229"/>
      <c r="J214" s="211"/>
      <c r="K214" s="198"/>
      <c r="L214" s="184"/>
    </row>
    <row r="215" spans="1:12" x14ac:dyDescent="0.2">
      <c r="A215" s="10">
        <v>22003</v>
      </c>
      <c r="B215" s="11">
        <v>42762</v>
      </c>
      <c r="C215" s="185">
        <v>100</v>
      </c>
      <c r="D215" s="12">
        <v>7.62</v>
      </c>
      <c r="E215" s="17"/>
      <c r="I215" s="229"/>
      <c r="J215" s="211"/>
      <c r="K215" s="198"/>
      <c r="L215" s="184"/>
    </row>
    <row r="216" spans="1:12" x14ac:dyDescent="0.2">
      <c r="A216" s="10">
        <v>22004</v>
      </c>
      <c r="B216" s="11">
        <v>42762</v>
      </c>
      <c r="C216" s="185">
        <v>63.87</v>
      </c>
      <c r="D216" s="12">
        <v>4.87</v>
      </c>
      <c r="E216" s="13" t="s">
        <v>913</v>
      </c>
      <c r="I216" s="229"/>
      <c r="J216" s="211"/>
      <c r="K216" s="198"/>
      <c r="L216" s="184"/>
    </row>
    <row r="217" spans="1:12" x14ac:dyDescent="0.2">
      <c r="A217" s="10">
        <v>22005</v>
      </c>
      <c r="B217" s="11">
        <v>42762</v>
      </c>
      <c r="C217" s="185">
        <v>-17.32</v>
      </c>
      <c r="D217" s="12">
        <v>-1.32</v>
      </c>
      <c r="E217" s="17"/>
      <c r="F217" s="134">
        <v>460</v>
      </c>
      <c r="G217" s="123">
        <f>+F217*0.97831</f>
        <v>450.02260000000001</v>
      </c>
      <c r="H217" s="161" t="s">
        <v>914</v>
      </c>
      <c r="I217" s="229"/>
      <c r="J217" s="211"/>
      <c r="K217" s="198"/>
      <c r="L217" s="184"/>
    </row>
    <row r="218" spans="1:12" x14ac:dyDescent="0.2">
      <c r="A218" s="10">
        <v>22006</v>
      </c>
      <c r="B218" s="11">
        <v>42763</v>
      </c>
      <c r="C218" s="185">
        <v>16.239999999999998</v>
      </c>
      <c r="D218" s="12">
        <v>1.24</v>
      </c>
      <c r="E218" s="17"/>
      <c r="I218" s="229"/>
      <c r="J218" s="211"/>
      <c r="K218" s="198"/>
      <c r="L218" s="184"/>
    </row>
    <row r="219" spans="1:12" x14ac:dyDescent="0.2">
      <c r="A219" s="10">
        <v>22007</v>
      </c>
      <c r="B219" s="11">
        <v>42763</v>
      </c>
      <c r="C219" s="185">
        <v>15.05</v>
      </c>
      <c r="D219" s="12">
        <v>1.1499999999999999</v>
      </c>
      <c r="E219" s="17"/>
      <c r="F219" s="18"/>
      <c r="G219" s="19"/>
      <c r="H219" s="12"/>
      <c r="I219" s="229"/>
      <c r="J219" s="211"/>
      <c r="K219" s="198"/>
      <c r="L219" s="184"/>
    </row>
    <row r="220" spans="1:12" x14ac:dyDescent="0.2">
      <c r="A220" s="10">
        <v>22008</v>
      </c>
      <c r="B220" s="11">
        <v>42763</v>
      </c>
      <c r="C220" s="185">
        <v>190.52</v>
      </c>
      <c r="D220" s="12">
        <v>14.52</v>
      </c>
      <c r="E220" s="17"/>
      <c r="I220" s="229"/>
      <c r="J220" s="211"/>
      <c r="K220" s="198"/>
      <c r="L220" s="184"/>
    </row>
    <row r="221" spans="1:12" x14ac:dyDescent="0.2">
      <c r="A221" s="10">
        <v>22009</v>
      </c>
      <c r="B221" s="11">
        <v>42763</v>
      </c>
      <c r="C221" s="185">
        <v>23.82</v>
      </c>
      <c r="D221" s="12">
        <v>1.82</v>
      </c>
      <c r="E221" s="17"/>
      <c r="F221" s="18"/>
      <c r="G221" s="19"/>
      <c r="H221" s="12"/>
      <c r="I221" s="229"/>
      <c r="J221" s="211"/>
      <c r="K221" s="198"/>
      <c r="L221" s="184"/>
    </row>
    <row r="222" spans="1:12" x14ac:dyDescent="0.2">
      <c r="A222" s="10">
        <v>22010</v>
      </c>
      <c r="B222" s="11">
        <v>42763</v>
      </c>
      <c r="C222" s="185">
        <v>60</v>
      </c>
      <c r="D222" s="12">
        <v>4.57</v>
      </c>
      <c r="E222" s="17"/>
      <c r="I222" s="229"/>
      <c r="J222" s="211"/>
      <c r="K222" s="198"/>
      <c r="L222" s="184"/>
    </row>
    <row r="223" spans="1:12" x14ac:dyDescent="0.2">
      <c r="A223" s="10">
        <v>22011</v>
      </c>
      <c r="B223" s="11">
        <v>42763</v>
      </c>
      <c r="C223" s="185">
        <v>52</v>
      </c>
      <c r="D223" s="12">
        <v>3.96</v>
      </c>
      <c r="E223" s="15" t="s">
        <v>533</v>
      </c>
      <c r="I223" s="229"/>
      <c r="J223" s="211"/>
      <c r="K223" s="198"/>
      <c r="L223" s="184"/>
    </row>
    <row r="224" spans="1:12" x14ac:dyDescent="0.2">
      <c r="A224" s="10">
        <v>22012</v>
      </c>
      <c r="B224" s="11">
        <v>42763</v>
      </c>
      <c r="C224" s="185">
        <v>60.35</v>
      </c>
      <c r="D224" s="12">
        <v>4.5999999999999996</v>
      </c>
      <c r="E224" s="15" t="s">
        <v>21</v>
      </c>
      <c r="F224" s="21"/>
      <c r="G224" s="22"/>
      <c r="H224" s="10"/>
      <c r="I224" s="229"/>
      <c r="J224" s="211"/>
      <c r="K224" s="198"/>
      <c r="L224" s="184"/>
    </row>
    <row r="225" spans="1:12" x14ac:dyDescent="0.2">
      <c r="A225" s="10">
        <v>22013</v>
      </c>
      <c r="B225" s="11">
        <v>42763</v>
      </c>
      <c r="C225" s="185">
        <v>157.5</v>
      </c>
      <c r="D225" s="12">
        <v>12</v>
      </c>
      <c r="E225" s="15" t="s">
        <v>533</v>
      </c>
      <c r="F225" s="21"/>
      <c r="G225" s="22"/>
      <c r="H225" s="10"/>
      <c r="I225" s="229"/>
      <c r="J225" s="211"/>
      <c r="K225" s="198"/>
      <c r="L225" s="184"/>
    </row>
    <row r="226" spans="1:12" x14ac:dyDescent="0.2">
      <c r="A226" s="10">
        <v>22014</v>
      </c>
      <c r="B226" s="11">
        <v>42763</v>
      </c>
      <c r="C226" s="185">
        <v>12.000000000000004</v>
      </c>
      <c r="D226" s="12">
        <v>0.91</v>
      </c>
      <c r="E226" s="15" t="s">
        <v>533</v>
      </c>
      <c r="F226" s="20">
        <v>0</v>
      </c>
      <c r="G226" s="20">
        <f>+F226*0.97831</f>
        <v>0</v>
      </c>
      <c r="H226" s="161" t="s">
        <v>915</v>
      </c>
      <c r="I226" s="229"/>
      <c r="J226" s="211"/>
      <c r="K226" s="198"/>
      <c r="L226" s="184"/>
    </row>
    <row r="227" spans="1:12" x14ac:dyDescent="0.2">
      <c r="A227" s="10">
        <v>22015</v>
      </c>
      <c r="B227" s="11">
        <v>42765</v>
      </c>
      <c r="C227" s="185">
        <v>136.94</v>
      </c>
      <c r="D227" s="12">
        <v>10.44</v>
      </c>
      <c r="E227" s="17"/>
      <c r="I227" s="229"/>
      <c r="J227" s="211"/>
      <c r="K227" s="198"/>
      <c r="L227" s="184"/>
    </row>
    <row r="228" spans="1:12" x14ac:dyDescent="0.2">
      <c r="A228" s="10">
        <v>22016</v>
      </c>
      <c r="B228" s="11">
        <v>42765</v>
      </c>
      <c r="C228" s="185">
        <v>8.66</v>
      </c>
      <c r="D228" s="12">
        <v>0.66</v>
      </c>
      <c r="E228" s="17"/>
      <c r="F228" s="18"/>
      <c r="G228" s="19"/>
      <c r="H228" s="12"/>
      <c r="I228" s="229"/>
      <c r="J228" s="211"/>
      <c r="K228" s="198"/>
      <c r="L228" s="184"/>
    </row>
    <row r="229" spans="1:12" x14ac:dyDescent="0.2">
      <c r="A229" s="10">
        <v>22017</v>
      </c>
      <c r="B229" s="11">
        <v>42765</v>
      </c>
      <c r="C229" s="185">
        <v>245.84</v>
      </c>
      <c r="D229" s="12">
        <v>18.739999999999998</v>
      </c>
      <c r="E229" s="13" t="s">
        <v>916</v>
      </c>
      <c r="I229" s="229"/>
      <c r="J229" s="211"/>
      <c r="K229" s="198"/>
      <c r="L229" s="184"/>
    </row>
    <row r="230" spans="1:12" x14ac:dyDescent="0.2">
      <c r="A230" s="10">
        <v>22018</v>
      </c>
      <c r="B230" s="11">
        <v>42765</v>
      </c>
      <c r="C230" s="185">
        <v>4.33</v>
      </c>
      <c r="D230" s="12">
        <v>0.33</v>
      </c>
      <c r="E230" s="17"/>
      <c r="F230" s="18"/>
      <c r="G230" s="19"/>
      <c r="H230" s="12"/>
      <c r="I230" s="229"/>
      <c r="J230" s="211"/>
      <c r="K230" s="198"/>
      <c r="L230" s="184"/>
    </row>
    <row r="231" spans="1:12" x14ac:dyDescent="0.2">
      <c r="A231" s="10">
        <v>22019</v>
      </c>
      <c r="B231" s="11">
        <v>42765</v>
      </c>
      <c r="C231" s="185">
        <v>324.75</v>
      </c>
      <c r="D231" s="12">
        <v>24.75</v>
      </c>
      <c r="E231" s="17"/>
      <c r="I231" s="229"/>
      <c r="J231" s="211"/>
      <c r="K231" s="198"/>
      <c r="L231" s="184"/>
    </row>
    <row r="232" spans="1:12" x14ac:dyDescent="0.2">
      <c r="A232" s="10">
        <v>22020</v>
      </c>
      <c r="B232" s="11">
        <v>42765</v>
      </c>
      <c r="C232" s="185">
        <v>30.2</v>
      </c>
      <c r="D232" s="12">
        <v>2.2999999999999998</v>
      </c>
      <c r="E232" s="17"/>
      <c r="F232" s="18"/>
      <c r="G232" s="19"/>
      <c r="H232" s="12"/>
      <c r="I232" s="229"/>
      <c r="J232" s="211"/>
      <c r="K232" s="198"/>
      <c r="L232" s="184"/>
    </row>
    <row r="233" spans="1:12" x14ac:dyDescent="0.2">
      <c r="A233" s="10">
        <v>22021</v>
      </c>
      <c r="B233" s="11">
        <v>42765</v>
      </c>
      <c r="C233" s="185">
        <v>4.3099999999999996</v>
      </c>
      <c r="D233" s="12">
        <v>0.33</v>
      </c>
      <c r="E233" s="17"/>
      <c r="F233" s="18"/>
      <c r="G233" s="19"/>
      <c r="H233" s="12"/>
      <c r="I233" s="229"/>
      <c r="J233" s="211"/>
      <c r="K233" s="198"/>
      <c r="L233" s="184"/>
    </row>
    <row r="234" spans="1:12" x14ac:dyDescent="0.2">
      <c r="A234" s="10">
        <v>22022</v>
      </c>
      <c r="B234" s="11">
        <v>42765</v>
      </c>
      <c r="C234" s="185">
        <v>14.34</v>
      </c>
      <c r="D234" s="12">
        <v>1.0900000000000001</v>
      </c>
      <c r="E234" s="15" t="s">
        <v>11</v>
      </c>
      <c r="F234" s="21"/>
      <c r="G234" s="22"/>
      <c r="H234" s="10"/>
      <c r="I234" s="229"/>
      <c r="J234" s="211"/>
      <c r="K234" s="198"/>
      <c r="L234" s="184"/>
    </row>
    <row r="235" spans="1:12" x14ac:dyDescent="0.2">
      <c r="A235" s="10">
        <v>22023</v>
      </c>
      <c r="B235" s="11">
        <v>42765</v>
      </c>
      <c r="C235" s="185">
        <v>1</v>
      </c>
      <c r="D235" s="12">
        <v>0.08</v>
      </c>
      <c r="E235" s="17"/>
      <c r="F235" s="18"/>
      <c r="G235" s="19"/>
      <c r="H235" s="12"/>
      <c r="I235" s="229"/>
      <c r="J235" s="211"/>
      <c r="K235" s="198"/>
      <c r="L235" s="184"/>
    </row>
    <row r="236" spans="1:12" x14ac:dyDescent="0.2">
      <c r="A236" s="10">
        <v>22024</v>
      </c>
      <c r="B236" s="11">
        <v>42765</v>
      </c>
      <c r="C236" s="185">
        <v>13</v>
      </c>
      <c r="D236" s="12">
        <v>0.99</v>
      </c>
      <c r="E236" s="17"/>
      <c r="F236" s="115"/>
      <c r="G236" s="115"/>
      <c r="I236" s="229"/>
      <c r="J236" s="211"/>
      <c r="K236" s="198"/>
      <c r="L236" s="184"/>
    </row>
    <row r="237" spans="1:12" x14ac:dyDescent="0.2">
      <c r="A237" s="10">
        <v>22025</v>
      </c>
      <c r="B237" s="11">
        <v>42765</v>
      </c>
      <c r="C237" s="185">
        <v>75.78</v>
      </c>
      <c r="D237" s="12">
        <v>5.78</v>
      </c>
      <c r="E237" s="15" t="s">
        <v>11</v>
      </c>
      <c r="F237" s="21"/>
      <c r="G237" s="22"/>
      <c r="H237" s="10"/>
      <c r="I237" s="229"/>
      <c r="J237" s="211"/>
      <c r="K237" s="198"/>
      <c r="L237" s="184"/>
    </row>
    <row r="238" spans="1:12" x14ac:dyDescent="0.2">
      <c r="A238" s="10">
        <v>22026</v>
      </c>
      <c r="B238" s="11">
        <v>42765</v>
      </c>
      <c r="C238" s="185">
        <v>32.479999999999997</v>
      </c>
      <c r="D238" s="12">
        <v>2.48</v>
      </c>
      <c r="E238" s="15" t="s">
        <v>11</v>
      </c>
      <c r="I238" s="229"/>
      <c r="J238" s="211"/>
      <c r="K238" s="198"/>
      <c r="L238" s="184"/>
    </row>
    <row r="239" spans="1:12" x14ac:dyDescent="0.2">
      <c r="A239" s="10">
        <v>22027</v>
      </c>
      <c r="B239" s="11">
        <v>42765</v>
      </c>
      <c r="C239" s="185">
        <v>26</v>
      </c>
      <c r="D239" s="12">
        <v>1.98</v>
      </c>
      <c r="E239" s="17"/>
      <c r="I239" s="229"/>
      <c r="J239" s="211"/>
      <c r="K239" s="198"/>
      <c r="L239" s="184"/>
    </row>
    <row r="240" spans="1:12" x14ac:dyDescent="0.2">
      <c r="A240" s="10">
        <v>22028</v>
      </c>
      <c r="B240" s="11">
        <v>42765</v>
      </c>
      <c r="C240" s="185">
        <v>40</v>
      </c>
      <c r="D240" s="12">
        <v>3.05</v>
      </c>
      <c r="E240" s="17"/>
      <c r="F240" s="134">
        <f>+C234+C237+C238</f>
        <v>122.6</v>
      </c>
      <c r="G240" s="123">
        <f>+F240*0.97831</f>
        <v>119.94080599999999</v>
      </c>
      <c r="H240" s="161"/>
      <c r="I240" s="229"/>
      <c r="J240" s="211"/>
      <c r="K240" s="198"/>
      <c r="L240" s="184"/>
    </row>
    <row r="241" spans="1:12" x14ac:dyDescent="0.2">
      <c r="A241" s="10">
        <v>22029</v>
      </c>
      <c r="B241" s="11">
        <v>42766</v>
      </c>
      <c r="C241" s="185">
        <v>21.65</v>
      </c>
      <c r="D241" s="12">
        <v>1.65</v>
      </c>
      <c r="E241" s="17"/>
      <c r="F241" s="18"/>
      <c r="G241" s="19"/>
      <c r="H241" s="12"/>
      <c r="I241" s="229"/>
      <c r="J241" s="211"/>
      <c r="K241" s="198"/>
      <c r="L241" s="184"/>
    </row>
    <row r="242" spans="1:12" x14ac:dyDescent="0.2">
      <c r="A242" s="10">
        <v>22030</v>
      </c>
      <c r="B242" s="11">
        <v>42766</v>
      </c>
      <c r="C242" s="185">
        <v>194.85</v>
      </c>
      <c r="D242" s="12">
        <v>14.85</v>
      </c>
      <c r="E242" s="15" t="s">
        <v>21</v>
      </c>
      <c r="F242" s="21"/>
      <c r="G242" s="22"/>
      <c r="H242" s="10"/>
      <c r="I242" s="229"/>
      <c r="J242" s="211"/>
      <c r="K242" s="198"/>
      <c r="L242" s="184"/>
    </row>
    <row r="243" spans="1:12" x14ac:dyDescent="0.2">
      <c r="A243" s="10">
        <v>22031</v>
      </c>
      <c r="B243" s="11">
        <v>42766</v>
      </c>
      <c r="C243" s="185">
        <v>7.6</v>
      </c>
      <c r="D243" s="12"/>
      <c r="E243" s="15" t="s">
        <v>368</v>
      </c>
      <c r="H243" s="10"/>
      <c r="I243" s="229"/>
      <c r="J243" s="211"/>
      <c r="K243" s="198"/>
      <c r="L243" s="184"/>
    </row>
    <row r="244" spans="1:12" x14ac:dyDescent="0.2">
      <c r="A244" s="10">
        <v>22032</v>
      </c>
      <c r="B244" s="11">
        <v>42766</v>
      </c>
      <c r="C244" s="185">
        <v>23.82</v>
      </c>
      <c r="D244" s="12">
        <v>1.82</v>
      </c>
      <c r="E244" s="15" t="s">
        <v>11</v>
      </c>
      <c r="F244" s="21"/>
      <c r="G244" s="22"/>
      <c r="H244" s="10"/>
      <c r="I244" s="229"/>
      <c r="J244" s="211"/>
      <c r="K244" s="198"/>
      <c r="L244" s="184"/>
    </row>
    <row r="245" spans="1:12" x14ac:dyDescent="0.2">
      <c r="A245" s="10">
        <v>22033</v>
      </c>
      <c r="B245" s="11">
        <v>42766</v>
      </c>
      <c r="C245" s="185">
        <v>356.14</v>
      </c>
      <c r="D245" s="12">
        <v>27.14</v>
      </c>
      <c r="E245" s="13" t="s">
        <v>917</v>
      </c>
      <c r="H245" s="12"/>
      <c r="I245" s="229"/>
      <c r="J245" s="211"/>
      <c r="K245" s="198"/>
      <c r="L245" s="184"/>
    </row>
    <row r="246" spans="1:12" x14ac:dyDescent="0.2">
      <c r="A246" s="10">
        <v>22034</v>
      </c>
      <c r="B246" s="11">
        <v>42766</v>
      </c>
      <c r="C246" s="185">
        <v>100</v>
      </c>
      <c r="D246" s="12"/>
      <c r="E246" s="17"/>
      <c r="F246" s="18"/>
      <c r="G246" s="19"/>
      <c r="H246" s="12"/>
      <c r="I246" s="229"/>
      <c r="J246" s="211"/>
      <c r="K246" s="198"/>
      <c r="L246" s="184"/>
    </row>
    <row r="247" spans="1:12" x14ac:dyDescent="0.2">
      <c r="A247" s="10">
        <v>22035</v>
      </c>
      <c r="B247" s="11">
        <v>42766</v>
      </c>
      <c r="C247" s="185">
        <v>1.08</v>
      </c>
      <c r="D247" s="12">
        <v>0.08</v>
      </c>
      <c r="E247" s="17"/>
      <c r="F247" s="18"/>
      <c r="G247" s="19"/>
      <c r="H247" s="12"/>
      <c r="I247" s="229"/>
      <c r="J247" s="211"/>
      <c r="K247" s="198"/>
      <c r="L247" s="184"/>
    </row>
    <row r="248" spans="1:12" x14ac:dyDescent="0.2">
      <c r="A248" s="10">
        <v>22036</v>
      </c>
      <c r="B248" s="11">
        <v>42766</v>
      </c>
      <c r="C248" s="185">
        <v>32.479999999999997</v>
      </c>
      <c r="D248" s="12">
        <v>2.48</v>
      </c>
      <c r="E248" s="15" t="s">
        <v>11</v>
      </c>
      <c r="F248" s="21"/>
      <c r="G248" s="22"/>
      <c r="H248" s="10"/>
      <c r="I248" s="229"/>
      <c r="J248" s="211"/>
      <c r="K248" s="198"/>
      <c r="L248" s="184"/>
    </row>
    <row r="249" spans="1:12" x14ac:dyDescent="0.2">
      <c r="A249" s="10">
        <v>22037</v>
      </c>
      <c r="B249" s="11">
        <v>42766</v>
      </c>
      <c r="C249" s="185">
        <v>60.62</v>
      </c>
      <c r="D249" s="12">
        <v>4.62</v>
      </c>
      <c r="E249" s="17"/>
      <c r="F249" s="134">
        <f>+C243+C244+C248+197.88</f>
        <v>261.77999999999997</v>
      </c>
      <c r="G249" s="123">
        <f>+F249*0.97831</f>
        <v>256.10199179999995</v>
      </c>
      <c r="H249" s="12"/>
      <c r="I249" s="229"/>
      <c r="J249" s="211"/>
      <c r="K249" s="198"/>
      <c r="L249" s="184"/>
    </row>
    <row r="250" spans="1:12" x14ac:dyDescent="0.2">
      <c r="A250" s="10"/>
      <c r="C250" s="12"/>
      <c r="D250" s="12"/>
      <c r="E250" s="187"/>
      <c r="F250" s="18"/>
      <c r="G250" s="19"/>
      <c r="H250" s="191"/>
      <c r="I250" s="229"/>
      <c r="J250" s="211"/>
      <c r="K250" s="198"/>
      <c r="L250" s="184"/>
    </row>
    <row r="251" spans="1:12" x14ac:dyDescent="0.2">
      <c r="E251" s="26"/>
      <c r="H251" s="188"/>
      <c r="I251" s="197">
        <f ca="1">H1-WEEKDAY(H1,3)-7</f>
        <v>43171</v>
      </c>
      <c r="J251" s="198" t="e">
        <f t="shared" ref="J251:J264" ca="1" si="0">SUMIF(INDIRECT(TEXT(I251,"'mmm-yy'")&amp;"!B3:B400"),I251,INDIRECT(TEXT(I251,"'mmm-yy'")&amp;"!C3:C400"))</f>
        <v>#REF!</v>
      </c>
      <c r="K251" s="198"/>
      <c r="L251" s="184"/>
    </row>
    <row r="252" spans="1:12" x14ac:dyDescent="0.2">
      <c r="E252" s="26"/>
      <c r="H252" s="191"/>
      <c r="I252" s="197">
        <f t="shared" ref="I252:I264" ca="1" si="1">I251+1</f>
        <v>43172</v>
      </c>
      <c r="J252" s="198" t="e">
        <f t="shared" ca="1" si="0"/>
        <v>#REF!</v>
      </c>
      <c r="K252" s="198"/>
      <c r="L252" s="184"/>
    </row>
    <row r="253" spans="1:12" x14ac:dyDescent="0.2">
      <c r="E253" s="26"/>
      <c r="H253" s="191"/>
      <c r="I253" s="197">
        <f t="shared" ca="1" si="1"/>
        <v>43173</v>
      </c>
      <c r="J253" s="198" t="e">
        <f t="shared" ca="1" si="0"/>
        <v>#REF!</v>
      </c>
      <c r="K253" s="198"/>
      <c r="L253" s="184"/>
    </row>
    <row r="254" spans="1:12" x14ac:dyDescent="0.2">
      <c r="E254" s="26"/>
      <c r="H254" s="188"/>
      <c r="I254" s="197">
        <f t="shared" ca="1" si="1"/>
        <v>43174</v>
      </c>
      <c r="J254" s="198" t="e">
        <f t="shared" ca="1" si="0"/>
        <v>#REF!</v>
      </c>
      <c r="K254" s="184"/>
      <c r="L254" s="184"/>
    </row>
    <row r="255" spans="1:12" x14ac:dyDescent="0.2">
      <c r="E255" s="26"/>
      <c r="H255" s="188"/>
      <c r="I255" s="197">
        <f t="shared" ca="1" si="1"/>
        <v>43175</v>
      </c>
      <c r="J255" s="198" t="e">
        <f t="shared" ca="1" si="0"/>
        <v>#REF!</v>
      </c>
      <c r="K255" s="184"/>
      <c r="L255" s="184"/>
    </row>
    <row r="256" spans="1:12" x14ac:dyDescent="0.2">
      <c r="E256" s="26"/>
      <c r="H256" s="191"/>
      <c r="I256" s="197">
        <f t="shared" ca="1" si="1"/>
        <v>43176</v>
      </c>
      <c r="J256" s="198" t="e">
        <f t="shared" ca="1" si="0"/>
        <v>#REF!</v>
      </c>
      <c r="K256" s="184"/>
      <c r="L256" s="184"/>
    </row>
    <row r="257" spans="5:12" x14ac:dyDescent="0.2">
      <c r="E257" s="26"/>
      <c r="H257" s="191"/>
      <c r="I257" s="197">
        <f t="shared" ca="1" si="1"/>
        <v>43177</v>
      </c>
      <c r="J257" s="198" t="e">
        <f t="shared" ca="1" si="0"/>
        <v>#REF!</v>
      </c>
      <c r="K257" s="198" t="e">
        <f ca="1">SUM(J251:J257)</f>
        <v>#REF!</v>
      </c>
      <c r="L257" s="184"/>
    </row>
    <row r="258" spans="5:12" x14ac:dyDescent="0.2">
      <c r="E258" s="26"/>
      <c r="H258" s="188"/>
      <c r="I258" s="197">
        <f t="shared" ca="1" si="1"/>
        <v>43178</v>
      </c>
      <c r="J258" s="198" t="e">
        <f t="shared" ca="1" si="0"/>
        <v>#REF!</v>
      </c>
      <c r="K258" s="198"/>
      <c r="L258" s="184"/>
    </row>
    <row r="259" spans="5:12" x14ac:dyDescent="0.2">
      <c r="E259" s="26"/>
      <c r="H259" s="191"/>
      <c r="I259" s="197">
        <f t="shared" ca="1" si="1"/>
        <v>43179</v>
      </c>
      <c r="J259" s="198" t="e">
        <f t="shared" ca="1" si="0"/>
        <v>#REF!</v>
      </c>
      <c r="K259" s="198"/>
      <c r="L259" s="184"/>
    </row>
    <row r="260" spans="5:12" x14ac:dyDescent="0.2">
      <c r="E260" s="26"/>
      <c r="H260" s="191"/>
      <c r="I260" s="197">
        <f t="shared" ca="1" si="1"/>
        <v>43180</v>
      </c>
      <c r="J260" s="198" t="e">
        <f t="shared" ca="1" si="0"/>
        <v>#REF!</v>
      </c>
      <c r="K260" s="198"/>
      <c r="L260" s="184"/>
    </row>
    <row r="261" spans="5:12" x14ac:dyDescent="0.2">
      <c r="E261" s="26"/>
      <c r="H261" s="191"/>
      <c r="I261" s="197">
        <f t="shared" ca="1" si="1"/>
        <v>43181</v>
      </c>
      <c r="J261" s="198" t="e">
        <f t="shared" ca="1" si="0"/>
        <v>#REF!</v>
      </c>
      <c r="K261" s="198"/>
      <c r="L261" s="184"/>
    </row>
    <row r="262" spans="5:12" x14ac:dyDescent="0.2">
      <c r="E262" s="26"/>
      <c r="H262" s="191"/>
      <c r="I262" s="197">
        <f t="shared" ca="1" si="1"/>
        <v>43182</v>
      </c>
      <c r="J262" s="198" t="e">
        <f t="shared" ca="1" si="0"/>
        <v>#REF!</v>
      </c>
      <c r="K262" s="198"/>
      <c r="L262" s="184"/>
    </row>
    <row r="263" spans="5:12" x14ac:dyDescent="0.2">
      <c r="E263" s="26"/>
      <c r="H263" s="191"/>
      <c r="I263" s="197">
        <f t="shared" ca="1" si="1"/>
        <v>43183</v>
      </c>
      <c r="J263" s="198" t="e">
        <f t="shared" ca="1" si="0"/>
        <v>#REF!</v>
      </c>
      <c r="K263" s="198"/>
      <c r="L263" s="184"/>
    </row>
    <row r="264" spans="5:12" x14ac:dyDescent="0.2">
      <c r="E264" s="26"/>
      <c r="H264" s="191"/>
      <c r="I264" s="197">
        <f t="shared" ca="1" si="1"/>
        <v>43184</v>
      </c>
      <c r="J264" s="198" t="e">
        <f t="shared" ca="1" si="0"/>
        <v>#REF!</v>
      </c>
      <c r="K264" s="198" t="e">
        <f ca="1">SUM(J258:J264)</f>
        <v>#REF!</v>
      </c>
      <c r="L264" s="184"/>
    </row>
    <row r="265" spans="5:12" x14ac:dyDescent="0.2">
      <c r="E265" s="26"/>
      <c r="H265" s="199"/>
      <c r="I265" s="184"/>
      <c r="J265" s="184"/>
      <c r="K265" s="184"/>
      <c r="L265" s="184"/>
    </row>
    <row r="266" spans="5:12" x14ac:dyDescent="0.2">
      <c r="E266" s="26"/>
      <c r="H266" s="199"/>
      <c r="I266" s="184"/>
      <c r="J266" s="184"/>
      <c r="K266" s="184"/>
      <c r="L266" s="184"/>
    </row>
    <row r="267" spans="5:12" x14ac:dyDescent="0.2">
      <c r="E267" s="26"/>
      <c r="H267" s="199"/>
      <c r="I267" s="184"/>
      <c r="J267" s="184"/>
      <c r="K267" s="184"/>
      <c r="L267" s="184"/>
    </row>
    <row r="268" spans="5:12" x14ac:dyDescent="0.2">
      <c r="E268" s="26"/>
      <c r="H268" s="199"/>
      <c r="I268" s="184"/>
      <c r="J268" s="184"/>
      <c r="K268" s="184"/>
      <c r="L268" s="184"/>
    </row>
    <row r="269" spans="5:12" x14ac:dyDescent="0.2">
      <c r="E269" s="26"/>
      <c r="H269" s="85"/>
      <c r="I269" s="77"/>
      <c r="J269" s="77"/>
      <c r="K269" s="77"/>
    </row>
    <row r="270" spans="5:12" x14ac:dyDescent="0.2">
      <c r="E270" s="26"/>
      <c r="H270" s="199"/>
      <c r="I270" s="184"/>
      <c r="J270" s="184"/>
    </row>
    <row r="271" spans="5:12" x14ac:dyDescent="0.2">
      <c r="E271" s="26"/>
      <c r="H271" s="199"/>
      <c r="I271" s="184"/>
      <c r="J271" s="184"/>
    </row>
    <row r="272" spans="5:12" x14ac:dyDescent="0.2">
      <c r="E272" s="26"/>
    </row>
    <row r="273" spans="1:10" x14ac:dyDescent="0.2">
      <c r="E273" s="26"/>
    </row>
    <row r="274" spans="1:10" x14ac:dyDescent="0.2">
      <c r="E274" s="26"/>
    </row>
    <row r="275" spans="1:10" x14ac:dyDescent="0.2">
      <c r="E275" s="26"/>
    </row>
    <row r="276" spans="1:10" x14ac:dyDescent="0.2">
      <c r="E276" s="26"/>
    </row>
    <row r="277" spans="1:10" x14ac:dyDescent="0.2">
      <c r="E277" s="26"/>
    </row>
    <row r="278" spans="1:10" x14ac:dyDescent="0.2">
      <c r="E278" s="26"/>
    </row>
    <row r="279" spans="1:10" x14ac:dyDescent="0.2">
      <c r="E279" s="26"/>
    </row>
    <row r="280" spans="1:10" x14ac:dyDescent="0.2">
      <c r="E280" s="26"/>
    </row>
    <row r="281" spans="1:10" x14ac:dyDescent="0.2">
      <c r="E281" s="26"/>
    </row>
    <row r="282" spans="1:10" x14ac:dyDescent="0.2">
      <c r="E282" s="26"/>
    </row>
    <row r="283" spans="1:10" x14ac:dyDescent="0.2">
      <c r="E283" s="26"/>
    </row>
    <row r="284" spans="1:10" x14ac:dyDescent="0.2">
      <c r="E284" s="26"/>
    </row>
    <row r="285" spans="1:10" x14ac:dyDescent="0.2">
      <c r="E285" s="26"/>
    </row>
    <row r="286" spans="1:10" x14ac:dyDescent="0.2">
      <c r="E286" s="26"/>
    </row>
    <row r="287" spans="1:10" s="29" customFormat="1" x14ac:dyDescent="0.2">
      <c r="A287" s="4"/>
      <c r="B287" s="11"/>
      <c r="C287" s="25"/>
      <c r="D287" s="4"/>
      <c r="E287" s="26"/>
      <c r="F287" s="4"/>
      <c r="G287" s="4"/>
      <c r="H287" s="25"/>
      <c r="I287" s="4"/>
      <c r="J287" s="4"/>
    </row>
    <row r="288" spans="1:10" s="29" customFormat="1" x14ac:dyDescent="0.2">
      <c r="A288" s="4"/>
      <c r="B288" s="11"/>
      <c r="C288" s="25"/>
      <c r="D288" s="4"/>
      <c r="E288" s="26"/>
      <c r="F288" s="4"/>
      <c r="G288" s="4"/>
      <c r="H288" s="25"/>
      <c r="I288" s="4"/>
      <c r="J288" s="4"/>
    </row>
    <row r="289" spans="1:10" x14ac:dyDescent="0.2">
      <c r="E289" s="26"/>
    </row>
    <row r="290" spans="1:10" x14ac:dyDescent="0.2">
      <c r="A290" s="29"/>
      <c r="B290" s="30"/>
      <c r="C290" s="31"/>
      <c r="D290" s="29"/>
      <c r="E290" s="32"/>
      <c r="F290" s="29"/>
      <c r="G290" s="29"/>
      <c r="H290" s="31"/>
      <c r="I290" s="29"/>
      <c r="J290" s="29"/>
    </row>
    <row r="291" spans="1:10" x14ac:dyDescent="0.2">
      <c r="A291" s="29"/>
      <c r="B291" s="30"/>
      <c r="C291" s="31"/>
      <c r="D291" s="29"/>
      <c r="E291" s="32"/>
      <c r="F291" s="29"/>
      <c r="G291" s="29"/>
      <c r="H291" s="31"/>
      <c r="I291" s="29"/>
      <c r="J291" s="29"/>
    </row>
    <row r="292" spans="1:10" x14ac:dyDescent="0.2">
      <c r="E292" s="26"/>
    </row>
    <row r="293" spans="1:10" x14ac:dyDescent="0.2">
      <c r="E293" s="26"/>
    </row>
    <row r="294" spans="1:10" x14ac:dyDescent="0.2">
      <c r="E294" s="26"/>
    </row>
    <row r="295" spans="1:10" x14ac:dyDescent="0.2">
      <c r="E295" s="26"/>
    </row>
    <row r="296" spans="1:10" x14ac:dyDescent="0.2">
      <c r="E296" s="26"/>
    </row>
    <row r="297" spans="1:10" x14ac:dyDescent="0.2">
      <c r="E297" s="26"/>
    </row>
    <row r="298" spans="1:10" x14ac:dyDescent="0.2">
      <c r="E298" s="26"/>
    </row>
    <row r="299" spans="1:10" x14ac:dyDescent="0.2">
      <c r="E299" s="26"/>
    </row>
    <row r="300" spans="1:10" x14ac:dyDescent="0.2">
      <c r="E300" s="26"/>
    </row>
    <row r="301" spans="1:10" x14ac:dyDescent="0.2">
      <c r="E301" s="26"/>
    </row>
    <row r="302" spans="1:10" x14ac:dyDescent="0.2">
      <c r="E302" s="26"/>
    </row>
    <row r="303" spans="1:10" x14ac:dyDescent="0.2">
      <c r="E303" s="26"/>
    </row>
    <row r="304" spans="1:10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3253"/>
  <sheetViews>
    <sheetView topLeftCell="A188" workbookViewId="0">
      <selection activeCell="A236" sqref="A236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28515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SUM(C3:C435)</f>
        <v>28616.110000000011</v>
      </c>
      <c r="D1" s="3">
        <f>SUM(D3:D435)</f>
        <v>2030.2800000000009</v>
      </c>
      <c r="F1" s="166">
        <f>SUM(F3:F4513)</f>
        <v>12551.76</v>
      </c>
      <c r="G1" s="166">
        <f>SUM(G3:G4513)</f>
        <v>12228.616524799998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s="8" customFormat="1" x14ac:dyDescent="0.2">
      <c r="A3" s="10">
        <v>22038</v>
      </c>
      <c r="B3" s="11">
        <v>42767</v>
      </c>
      <c r="C3" s="12">
        <v>122.27000000000001</v>
      </c>
      <c r="D3" s="12">
        <v>9.32</v>
      </c>
      <c r="E3" s="15" t="s">
        <v>11</v>
      </c>
      <c r="F3" s="10"/>
      <c r="G3" s="10"/>
      <c r="H3" s="10"/>
      <c r="I3" s="16"/>
    </row>
    <row r="4" spans="1:10" s="8" customFormat="1" x14ac:dyDescent="0.2">
      <c r="A4" s="10">
        <v>22039</v>
      </c>
      <c r="B4" s="11">
        <v>42767</v>
      </c>
      <c r="C4" s="12">
        <v>127.74</v>
      </c>
      <c r="D4" s="12">
        <v>9.74</v>
      </c>
      <c r="E4" s="12"/>
      <c r="F4" s="12"/>
      <c r="G4" s="12"/>
      <c r="H4" s="12"/>
      <c r="I4" s="16"/>
    </row>
    <row r="5" spans="1:10" s="8" customFormat="1" x14ac:dyDescent="0.2">
      <c r="A5" s="10">
        <v>22040</v>
      </c>
      <c r="B5" s="11">
        <v>42767</v>
      </c>
      <c r="C5" s="12">
        <v>14.07</v>
      </c>
      <c r="D5" s="12">
        <v>1.07</v>
      </c>
      <c r="E5" s="12"/>
      <c r="F5" s="12"/>
      <c r="G5" s="12"/>
      <c r="H5" s="12"/>
      <c r="I5" s="16"/>
    </row>
    <row r="6" spans="1:10" s="8" customFormat="1" x14ac:dyDescent="0.2">
      <c r="A6" s="10">
        <v>22041</v>
      </c>
      <c r="B6" s="11">
        <v>42767</v>
      </c>
      <c r="C6" s="12">
        <v>86.6</v>
      </c>
      <c r="D6" s="12">
        <v>6.6</v>
      </c>
      <c r="E6" s="12"/>
      <c r="H6" s="12"/>
      <c r="I6" s="16"/>
    </row>
    <row r="7" spans="1:10" s="8" customFormat="1" x14ac:dyDescent="0.2">
      <c r="A7" s="10">
        <v>22042</v>
      </c>
      <c r="B7" s="11">
        <v>42767</v>
      </c>
      <c r="C7" s="12">
        <v>59.54</v>
      </c>
      <c r="D7" s="12">
        <v>4.54</v>
      </c>
      <c r="E7" s="15" t="s">
        <v>21</v>
      </c>
      <c r="H7" s="10"/>
      <c r="I7" s="16"/>
    </row>
    <row r="8" spans="1:10" s="8" customFormat="1" x14ac:dyDescent="0.2">
      <c r="A8" s="10">
        <v>22043</v>
      </c>
      <c r="B8" s="11">
        <v>42767</v>
      </c>
      <c r="C8" s="12">
        <v>11.91</v>
      </c>
      <c r="D8" s="12">
        <v>0.91</v>
      </c>
      <c r="E8" s="17"/>
      <c r="F8" s="18"/>
      <c r="G8" s="19"/>
      <c r="H8" s="12"/>
      <c r="I8" s="16"/>
    </row>
    <row r="9" spans="1:10" s="8" customFormat="1" x14ac:dyDescent="0.2">
      <c r="A9" s="10">
        <v>22044</v>
      </c>
      <c r="B9" s="11">
        <v>42767</v>
      </c>
      <c r="C9" s="12">
        <v>121.24</v>
      </c>
      <c r="D9" s="12">
        <v>9.24</v>
      </c>
      <c r="E9" s="15" t="s">
        <v>11</v>
      </c>
      <c r="H9" s="10"/>
      <c r="I9" s="16"/>
    </row>
    <row r="10" spans="1:10" s="8" customFormat="1" x14ac:dyDescent="0.2">
      <c r="A10" s="10">
        <v>22045</v>
      </c>
      <c r="B10" s="11">
        <v>42767</v>
      </c>
      <c r="C10" s="12">
        <v>16.5</v>
      </c>
      <c r="D10" s="12">
        <v>1.26</v>
      </c>
      <c r="E10" s="15" t="s">
        <v>11</v>
      </c>
      <c r="F10" s="134">
        <f>+C3+C9+145.84+C10</f>
        <v>405.85</v>
      </c>
      <c r="G10" s="123">
        <f>+F10*0.97831</f>
        <v>397.04711350000002</v>
      </c>
      <c r="H10" s="10"/>
      <c r="I10" s="16"/>
    </row>
    <row r="11" spans="1:10" s="8" customFormat="1" x14ac:dyDescent="0.2">
      <c r="A11" s="10">
        <v>22046</v>
      </c>
      <c r="B11" s="11">
        <v>42768</v>
      </c>
      <c r="C11" s="12">
        <v>15.4</v>
      </c>
      <c r="D11" s="12"/>
      <c r="E11" s="15" t="s">
        <v>918</v>
      </c>
      <c r="H11" s="10"/>
      <c r="I11" s="16"/>
    </row>
    <row r="12" spans="1:10" s="8" customFormat="1" x14ac:dyDescent="0.2">
      <c r="A12" s="10">
        <v>22047</v>
      </c>
      <c r="B12" s="11">
        <v>42768</v>
      </c>
      <c r="C12" s="12">
        <v>223.54</v>
      </c>
      <c r="D12" s="12">
        <v>17.04</v>
      </c>
      <c r="E12" s="15" t="s">
        <v>11</v>
      </c>
      <c r="H12" s="10"/>
      <c r="I12" s="16"/>
    </row>
    <row r="13" spans="1:10" s="8" customFormat="1" x14ac:dyDescent="0.2">
      <c r="A13" s="10">
        <v>22048</v>
      </c>
      <c r="B13" s="11">
        <v>42768</v>
      </c>
      <c r="C13" s="12">
        <v>11.91</v>
      </c>
      <c r="D13" s="12">
        <v>0.91</v>
      </c>
      <c r="E13" s="17"/>
      <c r="F13" s="18"/>
      <c r="G13" s="19"/>
      <c r="H13" s="12"/>
      <c r="I13" s="16"/>
    </row>
    <row r="14" spans="1:10" s="8" customFormat="1" x14ac:dyDescent="0.2">
      <c r="A14" s="10">
        <v>22049</v>
      </c>
      <c r="B14" s="11">
        <v>42768</v>
      </c>
      <c r="C14" s="12">
        <v>260.88</v>
      </c>
      <c r="D14" s="12">
        <v>19.88</v>
      </c>
      <c r="E14" s="15" t="s">
        <v>11</v>
      </c>
      <c r="H14" s="10"/>
      <c r="I14" s="16"/>
    </row>
    <row r="15" spans="1:10" s="8" customFormat="1" x14ac:dyDescent="0.2">
      <c r="A15" s="10">
        <v>22050</v>
      </c>
      <c r="B15" s="11">
        <v>42768</v>
      </c>
      <c r="C15" s="12">
        <v>190.42</v>
      </c>
      <c r="D15" s="12"/>
      <c r="E15" s="15" t="s">
        <v>229</v>
      </c>
      <c r="H15" s="10"/>
      <c r="I15" s="16"/>
    </row>
    <row r="16" spans="1:10" s="8" customFormat="1" x14ac:dyDescent="0.2">
      <c r="A16" s="10">
        <v>22051</v>
      </c>
      <c r="B16" s="11">
        <v>42768</v>
      </c>
      <c r="C16" s="12">
        <v>229</v>
      </c>
      <c r="D16" s="12">
        <v>17.45</v>
      </c>
      <c r="E16" s="17"/>
      <c r="H16" s="12"/>
      <c r="I16" s="16"/>
    </row>
    <row r="17" spans="1:9" s="8" customFormat="1" x14ac:dyDescent="0.2">
      <c r="A17" s="10">
        <v>22052</v>
      </c>
      <c r="B17" s="11">
        <v>42768</v>
      </c>
      <c r="C17" s="12">
        <v>139.99999999999997</v>
      </c>
      <c r="D17" s="12">
        <v>10.67</v>
      </c>
      <c r="E17" s="15" t="s">
        <v>11</v>
      </c>
      <c r="F17" s="134">
        <f>+C12+C14+C17</f>
        <v>624.41999999999996</v>
      </c>
      <c r="G17" s="123">
        <f>+F17*0.97831</f>
        <v>610.87633019999998</v>
      </c>
      <c r="H17" s="10"/>
      <c r="I17" s="16"/>
    </row>
    <row r="18" spans="1:9" s="8" customFormat="1" x14ac:dyDescent="0.2">
      <c r="A18" s="10">
        <v>22053</v>
      </c>
      <c r="B18" s="11">
        <v>42769</v>
      </c>
      <c r="C18" s="12">
        <v>107.79</v>
      </c>
      <c r="D18" s="12"/>
      <c r="E18" s="15" t="s">
        <v>11</v>
      </c>
      <c r="H18" s="10"/>
      <c r="I18" s="16"/>
    </row>
    <row r="19" spans="1:9" s="8" customFormat="1" x14ac:dyDescent="0.2">
      <c r="A19" s="10">
        <v>22054</v>
      </c>
      <c r="B19" s="11">
        <v>42769</v>
      </c>
      <c r="C19" s="12"/>
      <c r="D19" s="12"/>
      <c r="E19" s="15"/>
      <c r="H19" s="10"/>
      <c r="I19" s="16"/>
    </row>
    <row r="20" spans="1:9" s="8" customFormat="1" x14ac:dyDescent="0.2">
      <c r="A20" s="10">
        <v>22055</v>
      </c>
      <c r="B20" s="11">
        <v>42769</v>
      </c>
      <c r="C20" s="12">
        <v>31.39</v>
      </c>
      <c r="D20" s="12">
        <v>2.39</v>
      </c>
      <c r="E20" s="15" t="s">
        <v>7</v>
      </c>
      <c r="H20" s="10"/>
      <c r="I20" s="16"/>
    </row>
    <row r="21" spans="1:9" s="8" customFormat="1" x14ac:dyDescent="0.2">
      <c r="A21" s="10">
        <v>22056</v>
      </c>
      <c r="B21" s="11">
        <v>42769</v>
      </c>
      <c r="C21" s="12">
        <v>25.98</v>
      </c>
      <c r="D21" s="12">
        <v>1.98</v>
      </c>
      <c r="E21" s="15" t="s">
        <v>21</v>
      </c>
      <c r="F21" s="21"/>
      <c r="G21" s="22"/>
      <c r="H21" s="10"/>
      <c r="I21" s="16"/>
    </row>
    <row r="22" spans="1:9" s="8" customFormat="1" x14ac:dyDescent="0.2">
      <c r="A22" s="10">
        <v>22057</v>
      </c>
      <c r="B22" s="11">
        <v>42769</v>
      </c>
      <c r="C22" s="12">
        <v>9.74</v>
      </c>
      <c r="D22" s="12">
        <v>0.74</v>
      </c>
      <c r="E22" s="17"/>
      <c r="F22" s="134">
        <f>+C18+C20</f>
        <v>139.18</v>
      </c>
      <c r="G22" s="123">
        <f>+F22*0.97831</f>
        <v>136.1611858</v>
      </c>
      <c r="H22" s="12"/>
      <c r="I22" s="16"/>
    </row>
    <row r="23" spans="1:9" s="8" customFormat="1" x14ac:dyDescent="0.2">
      <c r="A23" s="10">
        <v>22058</v>
      </c>
      <c r="B23" s="11">
        <v>42770</v>
      </c>
      <c r="C23" s="12">
        <v>447</v>
      </c>
      <c r="D23" s="12">
        <v>34.07</v>
      </c>
      <c r="E23" s="17"/>
      <c r="H23" s="12"/>
      <c r="I23" s="16"/>
    </row>
    <row r="24" spans="1:9" s="8" customFormat="1" x14ac:dyDescent="0.2">
      <c r="A24" s="10">
        <v>22059</v>
      </c>
      <c r="B24" s="11">
        <v>42770</v>
      </c>
      <c r="C24" s="12">
        <v>313.38</v>
      </c>
      <c r="D24" s="12">
        <v>23.88</v>
      </c>
      <c r="E24" s="17"/>
      <c r="F24" s="18"/>
      <c r="G24" s="19"/>
      <c r="H24" s="12"/>
      <c r="I24" s="16"/>
    </row>
    <row r="25" spans="1:9" s="8" customFormat="1" x14ac:dyDescent="0.2">
      <c r="A25" s="10">
        <v>22060</v>
      </c>
      <c r="B25" s="11">
        <v>42770</v>
      </c>
      <c r="C25" s="12">
        <v>51.96</v>
      </c>
      <c r="D25" s="12">
        <v>3.96</v>
      </c>
      <c r="E25" s="15" t="s">
        <v>11</v>
      </c>
      <c r="F25" s="21"/>
      <c r="G25" s="22"/>
      <c r="H25" s="10"/>
      <c r="I25" s="16"/>
    </row>
    <row r="26" spans="1:9" s="8" customFormat="1" x14ac:dyDescent="0.2">
      <c r="A26" s="10">
        <v>22061</v>
      </c>
      <c r="B26" s="11">
        <v>42770</v>
      </c>
      <c r="C26" s="12">
        <v>32.26</v>
      </c>
      <c r="D26" s="12">
        <v>2.46</v>
      </c>
      <c r="E26" s="17"/>
      <c r="H26" s="12"/>
      <c r="I26" s="16"/>
    </row>
    <row r="27" spans="1:9" s="8" customFormat="1" x14ac:dyDescent="0.2">
      <c r="A27" s="10">
        <v>22062</v>
      </c>
      <c r="B27" s="11">
        <v>42770</v>
      </c>
      <c r="C27" s="12">
        <v>181.86</v>
      </c>
      <c r="D27" s="12">
        <v>13.86</v>
      </c>
      <c r="E27" s="15" t="s">
        <v>11</v>
      </c>
      <c r="F27" s="21"/>
      <c r="G27" s="22"/>
      <c r="H27" s="10"/>
      <c r="I27" s="16"/>
    </row>
    <row r="28" spans="1:9" s="8" customFormat="1" x14ac:dyDescent="0.2">
      <c r="A28" s="10">
        <v>22063</v>
      </c>
      <c r="B28" s="11">
        <v>42770</v>
      </c>
      <c r="C28" s="12">
        <v>543.41999999999996</v>
      </c>
      <c r="D28" s="12">
        <v>41.42</v>
      </c>
      <c r="E28" s="15" t="s">
        <v>7</v>
      </c>
      <c r="F28" s="134">
        <f>+C25+C27+C28</f>
        <v>777.24</v>
      </c>
      <c r="G28" s="123">
        <f>+F28*0.97831</f>
        <v>760.38166439999998</v>
      </c>
      <c r="H28" s="10"/>
      <c r="I28" s="16"/>
    </row>
    <row r="29" spans="1:9" s="8" customFormat="1" x14ac:dyDescent="0.2">
      <c r="A29" s="10">
        <v>22064</v>
      </c>
      <c r="B29" s="11">
        <v>42772</v>
      </c>
      <c r="C29" s="12">
        <v>113.61</v>
      </c>
      <c r="D29" s="12">
        <v>8.66</v>
      </c>
      <c r="E29" s="15" t="s">
        <v>11</v>
      </c>
      <c r="F29" s="21"/>
      <c r="G29" s="22"/>
      <c r="H29" s="10"/>
      <c r="I29" s="16"/>
    </row>
    <row r="30" spans="1:9" s="8" customFormat="1" x14ac:dyDescent="0.2">
      <c r="A30" s="10">
        <v>22065</v>
      </c>
      <c r="B30" s="11">
        <v>42772</v>
      </c>
      <c r="C30" s="12">
        <v>144</v>
      </c>
      <c r="D30" s="12">
        <v>10.97</v>
      </c>
      <c r="E30" s="17"/>
      <c r="H30" s="12"/>
      <c r="I30" s="16"/>
    </row>
    <row r="31" spans="1:9" s="8" customFormat="1" x14ac:dyDescent="0.2">
      <c r="A31" s="10">
        <v>22066</v>
      </c>
      <c r="B31" s="11">
        <v>42772</v>
      </c>
      <c r="C31" s="12">
        <v>32.479999999999997</v>
      </c>
      <c r="D31" s="12">
        <v>2.48</v>
      </c>
      <c r="E31" s="15" t="s">
        <v>21</v>
      </c>
      <c r="H31" s="10"/>
      <c r="I31" s="16"/>
    </row>
    <row r="32" spans="1:9" s="8" customFormat="1" x14ac:dyDescent="0.2">
      <c r="A32" s="10">
        <v>22067</v>
      </c>
      <c r="B32" s="11">
        <v>42772</v>
      </c>
      <c r="C32" s="12">
        <v>29.23</v>
      </c>
      <c r="D32" s="12">
        <v>2.23</v>
      </c>
      <c r="E32" s="17"/>
      <c r="F32" s="18"/>
      <c r="G32" s="19"/>
      <c r="H32" s="12"/>
      <c r="I32" s="16"/>
    </row>
    <row r="33" spans="1:9" s="8" customFormat="1" x14ac:dyDescent="0.2">
      <c r="A33" s="10">
        <v>22068</v>
      </c>
      <c r="B33" s="11">
        <v>42772</v>
      </c>
      <c r="C33" s="12">
        <v>25</v>
      </c>
      <c r="D33" s="12">
        <v>1.91</v>
      </c>
      <c r="E33" s="17"/>
      <c r="H33" s="12"/>
      <c r="I33" s="16"/>
    </row>
    <row r="34" spans="1:9" s="8" customFormat="1" x14ac:dyDescent="0.2">
      <c r="A34" s="10">
        <v>22069</v>
      </c>
      <c r="B34" s="11">
        <v>42772</v>
      </c>
      <c r="C34" s="12">
        <v>166.71</v>
      </c>
      <c r="D34" s="12">
        <v>12.71</v>
      </c>
      <c r="E34" s="17"/>
      <c r="F34" s="18"/>
      <c r="G34" s="19"/>
      <c r="H34" s="12"/>
      <c r="I34" s="16"/>
    </row>
    <row r="35" spans="1:9" s="8" customFormat="1" x14ac:dyDescent="0.2">
      <c r="A35" s="10">
        <v>22070</v>
      </c>
      <c r="B35" s="11">
        <v>42772</v>
      </c>
      <c r="C35" s="12">
        <v>71.45</v>
      </c>
      <c r="D35" s="12">
        <v>5.45</v>
      </c>
      <c r="E35" s="17"/>
      <c r="F35" s="134">
        <f>+C29+331.25</f>
        <v>444.86</v>
      </c>
      <c r="G35" s="123">
        <f>+F35*0.97831</f>
        <v>435.21098660000001</v>
      </c>
      <c r="H35" s="12"/>
      <c r="I35" s="16"/>
    </row>
    <row r="36" spans="1:9" s="8" customFormat="1" x14ac:dyDescent="0.2">
      <c r="A36" s="10">
        <v>22071</v>
      </c>
      <c r="B36" s="11">
        <v>42773</v>
      </c>
      <c r="C36" s="12">
        <v>21.65</v>
      </c>
      <c r="D36" s="12">
        <v>1.65</v>
      </c>
      <c r="E36" s="17"/>
      <c r="F36" s="18"/>
      <c r="G36" s="19"/>
      <c r="H36" s="12"/>
      <c r="I36" s="16"/>
    </row>
    <row r="37" spans="1:9" s="8" customFormat="1" x14ac:dyDescent="0.2">
      <c r="A37" s="10">
        <v>22072</v>
      </c>
      <c r="B37" s="11">
        <v>42773</v>
      </c>
      <c r="C37" s="12">
        <v>8.66</v>
      </c>
      <c r="D37" s="12">
        <v>0.66</v>
      </c>
      <c r="E37" s="15" t="s">
        <v>11</v>
      </c>
      <c r="H37" s="10"/>
      <c r="I37" s="16"/>
    </row>
    <row r="38" spans="1:9" s="8" customFormat="1" x14ac:dyDescent="0.2">
      <c r="A38" s="10">
        <v>22073</v>
      </c>
      <c r="B38" s="11">
        <v>42773</v>
      </c>
      <c r="C38" s="12">
        <v>258.18</v>
      </c>
      <c r="D38" s="12">
        <v>19.68</v>
      </c>
      <c r="E38" s="15" t="s">
        <v>11</v>
      </c>
      <c r="F38" s="21"/>
      <c r="G38" s="22"/>
      <c r="H38" s="10"/>
      <c r="I38" s="16"/>
    </row>
    <row r="39" spans="1:9" s="8" customFormat="1" x14ac:dyDescent="0.2">
      <c r="A39" s="10">
        <v>22074</v>
      </c>
      <c r="B39" s="11">
        <v>42773</v>
      </c>
      <c r="C39" s="12">
        <v>216.5</v>
      </c>
      <c r="D39" s="12">
        <v>16.5</v>
      </c>
      <c r="E39" s="13" t="s">
        <v>919</v>
      </c>
      <c r="H39" s="12"/>
      <c r="I39" s="16"/>
    </row>
    <row r="40" spans="1:9" s="8" customFormat="1" x14ac:dyDescent="0.2">
      <c r="A40" s="10">
        <v>22075</v>
      </c>
      <c r="B40" s="11">
        <v>42773</v>
      </c>
      <c r="C40" s="12">
        <v>67.12</v>
      </c>
      <c r="D40" s="12">
        <v>5.12</v>
      </c>
      <c r="E40" s="17"/>
      <c r="F40" s="18"/>
      <c r="G40" s="19"/>
      <c r="H40" s="12"/>
      <c r="I40" s="16"/>
    </row>
    <row r="41" spans="1:9" s="8" customFormat="1" x14ac:dyDescent="0.2">
      <c r="A41" s="10">
        <v>22076</v>
      </c>
      <c r="B41" s="11">
        <v>42773</v>
      </c>
      <c r="C41" s="12">
        <v>117.99</v>
      </c>
      <c r="D41" s="12">
        <v>8.99</v>
      </c>
      <c r="E41" s="15" t="s">
        <v>11</v>
      </c>
      <c r="F41" s="21"/>
      <c r="G41" s="22"/>
      <c r="H41" s="10"/>
      <c r="I41" s="16"/>
    </row>
    <row r="42" spans="1:9" s="8" customFormat="1" x14ac:dyDescent="0.2">
      <c r="A42" s="10">
        <v>22077</v>
      </c>
      <c r="B42" s="11">
        <v>42773</v>
      </c>
      <c r="C42" s="12">
        <v>34.589999999999996</v>
      </c>
      <c r="D42" s="12">
        <v>2.64</v>
      </c>
      <c r="E42" s="15" t="s">
        <v>11</v>
      </c>
      <c r="F42" s="21"/>
      <c r="G42" s="22"/>
      <c r="H42" s="10"/>
      <c r="I42" s="16"/>
    </row>
    <row r="43" spans="1:9" s="8" customFormat="1" x14ac:dyDescent="0.2">
      <c r="A43" s="10">
        <v>22078</v>
      </c>
      <c r="B43" s="11">
        <v>42773</v>
      </c>
      <c r="C43" s="12">
        <v>434.08</v>
      </c>
      <c r="D43" s="12">
        <v>33.08</v>
      </c>
      <c r="E43" s="15" t="s">
        <v>11</v>
      </c>
      <c r="F43" s="21"/>
      <c r="G43" s="22"/>
      <c r="H43" s="10"/>
      <c r="I43" s="16"/>
    </row>
    <row r="44" spans="1:9" s="8" customFormat="1" x14ac:dyDescent="0.2">
      <c r="A44" s="10">
        <v>22079</v>
      </c>
      <c r="B44" s="11">
        <v>42773</v>
      </c>
      <c r="C44" s="12">
        <v>17.78</v>
      </c>
      <c r="D44" s="12"/>
      <c r="E44" s="13" t="s">
        <v>920</v>
      </c>
      <c r="H44" s="12"/>
      <c r="I44" s="16"/>
    </row>
    <row r="45" spans="1:9" s="8" customFormat="1" x14ac:dyDescent="0.2">
      <c r="A45" s="10">
        <v>22080</v>
      </c>
      <c r="B45" s="11">
        <v>42773</v>
      </c>
      <c r="C45" s="12">
        <v>14.07</v>
      </c>
      <c r="D45" s="12">
        <v>1.07</v>
      </c>
      <c r="E45" s="17"/>
      <c r="F45" s="134">
        <f>+C37+C38+C41+C42+234.08+37.69</f>
        <v>691.19</v>
      </c>
      <c r="G45" s="123">
        <f>+F45*0.97831</f>
        <v>676.19808890000002</v>
      </c>
      <c r="H45" s="12"/>
      <c r="I45" s="16"/>
    </row>
    <row r="46" spans="1:9" s="8" customFormat="1" x14ac:dyDescent="0.2">
      <c r="A46" s="10">
        <v>22081</v>
      </c>
      <c r="B46" s="11">
        <v>42774</v>
      </c>
      <c r="C46" s="12">
        <v>376.71</v>
      </c>
      <c r="D46" s="12">
        <v>28.71</v>
      </c>
      <c r="E46" s="15" t="s">
        <v>921</v>
      </c>
      <c r="F46" s="21"/>
      <c r="G46" s="22"/>
      <c r="H46" s="10"/>
      <c r="I46" s="16"/>
    </row>
    <row r="47" spans="1:9" s="8" customFormat="1" x14ac:dyDescent="0.2">
      <c r="A47" s="10">
        <v>22082</v>
      </c>
      <c r="B47" s="11">
        <v>42774</v>
      </c>
      <c r="C47" s="12">
        <v>41.45</v>
      </c>
      <c r="D47" s="12"/>
      <c r="E47" s="15" t="s">
        <v>922</v>
      </c>
      <c r="F47" s="21"/>
      <c r="G47" s="22"/>
      <c r="H47" s="10"/>
      <c r="I47" s="16"/>
    </row>
    <row r="48" spans="1:9" s="8" customFormat="1" x14ac:dyDescent="0.2">
      <c r="A48" s="10">
        <v>22083</v>
      </c>
      <c r="B48" s="11">
        <v>42774</v>
      </c>
      <c r="C48" s="12">
        <v>9.5</v>
      </c>
      <c r="D48" s="12"/>
      <c r="E48" s="15" t="s">
        <v>922</v>
      </c>
      <c r="H48" s="10"/>
      <c r="I48" s="16"/>
    </row>
    <row r="49" spans="1:9" s="8" customFormat="1" x14ac:dyDescent="0.2">
      <c r="A49" s="10">
        <v>22084</v>
      </c>
      <c r="B49" s="11">
        <v>42774</v>
      </c>
      <c r="C49" s="12">
        <v>80.11</v>
      </c>
      <c r="D49" s="12">
        <v>6.11</v>
      </c>
      <c r="E49" s="17"/>
      <c r="H49" s="12"/>
      <c r="I49" s="16"/>
    </row>
    <row r="50" spans="1:9" s="8" customFormat="1" x14ac:dyDescent="0.2">
      <c r="A50" s="10">
        <v>22085</v>
      </c>
      <c r="B50" s="11">
        <v>42774</v>
      </c>
      <c r="C50" s="12">
        <v>174.27999999999997</v>
      </c>
      <c r="D50" s="12">
        <v>13.28</v>
      </c>
      <c r="E50" s="15" t="s">
        <v>923</v>
      </c>
      <c r="H50" s="10"/>
      <c r="I50" s="16"/>
    </row>
    <row r="51" spans="1:9" s="8" customFormat="1" x14ac:dyDescent="0.2">
      <c r="A51" s="10">
        <v>22086</v>
      </c>
      <c r="B51" s="11">
        <v>42774</v>
      </c>
      <c r="C51" s="12">
        <v>30</v>
      </c>
      <c r="D51" s="12">
        <v>2.29</v>
      </c>
      <c r="E51" s="17"/>
      <c r="F51" s="18"/>
      <c r="G51" s="19"/>
      <c r="H51" s="12"/>
      <c r="I51" s="16"/>
    </row>
    <row r="52" spans="1:9" s="8" customFormat="1" x14ac:dyDescent="0.2">
      <c r="A52" s="10">
        <v>22087</v>
      </c>
      <c r="B52" s="11">
        <v>42774</v>
      </c>
      <c r="C52" s="12">
        <v>280</v>
      </c>
      <c r="D52" s="12"/>
      <c r="E52" s="17"/>
      <c r="F52" s="20">
        <v>0</v>
      </c>
      <c r="G52" s="20">
        <f>+F52*0.97831</f>
        <v>0</v>
      </c>
      <c r="H52" s="12"/>
      <c r="I52" s="16"/>
    </row>
    <row r="53" spans="1:9" s="8" customFormat="1" x14ac:dyDescent="0.2">
      <c r="A53" s="10">
        <v>22088</v>
      </c>
      <c r="B53" s="11">
        <v>42775</v>
      </c>
      <c r="C53" s="12">
        <v>28.04</v>
      </c>
      <c r="D53" s="12">
        <v>2.14</v>
      </c>
      <c r="E53" s="15" t="s">
        <v>11</v>
      </c>
      <c r="F53" s="21"/>
      <c r="G53" s="22"/>
      <c r="H53" s="10"/>
      <c r="I53" s="16"/>
    </row>
    <row r="54" spans="1:9" s="8" customFormat="1" x14ac:dyDescent="0.2">
      <c r="A54" s="10">
        <v>22089</v>
      </c>
      <c r="B54" s="11">
        <v>42775</v>
      </c>
      <c r="C54" s="12">
        <v>60.62</v>
      </c>
      <c r="D54" s="12">
        <v>4.62</v>
      </c>
      <c r="E54" s="15" t="s">
        <v>21</v>
      </c>
      <c r="F54" s="21"/>
      <c r="G54" s="22"/>
      <c r="H54" s="10"/>
      <c r="I54" s="16"/>
    </row>
    <row r="55" spans="1:9" s="8" customFormat="1" x14ac:dyDescent="0.2">
      <c r="A55" s="10">
        <v>22090</v>
      </c>
      <c r="B55" s="11">
        <v>42775</v>
      </c>
      <c r="C55" s="12">
        <v>207.3</v>
      </c>
      <c r="D55" s="12">
        <v>15.8</v>
      </c>
      <c r="E55" s="15" t="s">
        <v>7</v>
      </c>
      <c r="H55" s="10"/>
      <c r="I55" s="16"/>
    </row>
    <row r="56" spans="1:9" s="8" customFormat="1" x14ac:dyDescent="0.2">
      <c r="A56" s="10">
        <v>22091</v>
      </c>
      <c r="B56" s="11">
        <v>42775</v>
      </c>
      <c r="C56" s="12">
        <v>343.15</v>
      </c>
      <c r="D56" s="12">
        <v>26.15</v>
      </c>
      <c r="E56" s="13" t="s">
        <v>924</v>
      </c>
      <c r="H56" s="12"/>
      <c r="I56" s="16"/>
    </row>
    <row r="57" spans="1:9" s="8" customFormat="1" x14ac:dyDescent="0.2">
      <c r="A57" s="10">
        <v>22092</v>
      </c>
      <c r="B57" s="11">
        <v>42775</v>
      </c>
      <c r="C57" s="12">
        <v>212.00000000000003</v>
      </c>
      <c r="D57" s="12">
        <v>16.149999999999999</v>
      </c>
      <c r="E57" s="15" t="s">
        <v>925</v>
      </c>
      <c r="H57" s="10"/>
      <c r="I57" s="16"/>
    </row>
    <row r="58" spans="1:9" s="8" customFormat="1" x14ac:dyDescent="0.2">
      <c r="A58" s="10">
        <v>22093</v>
      </c>
      <c r="B58" s="11">
        <v>42775</v>
      </c>
      <c r="C58" s="12">
        <v>7.5</v>
      </c>
      <c r="D58" s="12">
        <v>0.56999999999999995</v>
      </c>
      <c r="E58" s="17"/>
      <c r="F58" s="18"/>
      <c r="G58" s="19"/>
      <c r="H58" s="12"/>
      <c r="I58" s="16"/>
    </row>
    <row r="59" spans="1:9" s="8" customFormat="1" x14ac:dyDescent="0.2">
      <c r="A59" s="10">
        <v>22094</v>
      </c>
      <c r="B59" s="11">
        <v>42775</v>
      </c>
      <c r="C59" s="12">
        <v>795</v>
      </c>
      <c r="D59" s="12">
        <v>98.69</v>
      </c>
      <c r="E59" s="15" t="s">
        <v>926</v>
      </c>
      <c r="H59" s="10"/>
      <c r="I59" s="16"/>
    </row>
    <row r="60" spans="1:9" s="8" customFormat="1" x14ac:dyDescent="0.2">
      <c r="A60" s="10">
        <v>22095</v>
      </c>
      <c r="B60" s="11">
        <v>42775</v>
      </c>
      <c r="C60" s="12">
        <v>619.1400000000001</v>
      </c>
      <c r="D60" s="12">
        <v>47.19</v>
      </c>
      <c r="E60" s="15" t="s">
        <v>927</v>
      </c>
      <c r="F60" s="134">
        <f>+C53+C55</f>
        <v>235.34</v>
      </c>
      <c r="G60" s="123">
        <f>+F60*0.97831</f>
        <v>230.23547540000001</v>
      </c>
      <c r="H60" s="10"/>
      <c r="I60" s="16"/>
    </row>
    <row r="61" spans="1:9" s="8" customFormat="1" x14ac:dyDescent="0.2">
      <c r="A61" s="10">
        <v>22096</v>
      </c>
      <c r="B61" s="11">
        <v>42776</v>
      </c>
      <c r="C61" s="12">
        <v>21.65</v>
      </c>
      <c r="D61" s="12">
        <v>1.65</v>
      </c>
      <c r="E61" s="13"/>
      <c r="F61" s="18"/>
      <c r="G61" s="19"/>
      <c r="H61" s="12"/>
      <c r="I61" s="16"/>
    </row>
    <row r="62" spans="1:9" s="8" customFormat="1" x14ac:dyDescent="0.2">
      <c r="A62" s="10">
        <v>22097</v>
      </c>
      <c r="B62" s="11">
        <v>42776</v>
      </c>
      <c r="C62" s="12">
        <v>7.5200000000000005</v>
      </c>
      <c r="D62" s="12">
        <v>0.56999999999999995</v>
      </c>
      <c r="E62" s="13"/>
      <c r="F62" s="18"/>
      <c r="G62" s="19"/>
      <c r="H62" s="12"/>
      <c r="I62" s="16"/>
    </row>
    <row r="63" spans="1:9" s="8" customFormat="1" x14ac:dyDescent="0.2">
      <c r="A63" s="10">
        <v>22098</v>
      </c>
      <c r="B63" s="11">
        <v>42776</v>
      </c>
      <c r="C63" s="12">
        <v>21.65</v>
      </c>
      <c r="D63" s="12">
        <v>1.65</v>
      </c>
      <c r="E63" s="13"/>
      <c r="F63" s="18"/>
      <c r="G63" s="19"/>
      <c r="H63" s="12"/>
      <c r="I63" s="16"/>
    </row>
    <row r="64" spans="1:9" s="8" customFormat="1" x14ac:dyDescent="0.2">
      <c r="A64" s="10">
        <v>22099</v>
      </c>
      <c r="B64" s="11">
        <v>42776</v>
      </c>
      <c r="C64" s="12">
        <v>24.84</v>
      </c>
      <c r="D64" s="12">
        <v>1.89</v>
      </c>
      <c r="E64" s="13"/>
      <c r="F64" s="18"/>
      <c r="G64" s="19"/>
      <c r="H64" s="12"/>
      <c r="I64" s="16"/>
    </row>
    <row r="65" spans="1:9" s="8" customFormat="1" x14ac:dyDescent="0.2">
      <c r="A65" s="10">
        <v>22100</v>
      </c>
      <c r="B65" s="11">
        <v>42776</v>
      </c>
      <c r="C65" s="12">
        <v>4.33</v>
      </c>
      <c r="D65" s="12">
        <v>0.33</v>
      </c>
      <c r="E65" s="13"/>
      <c r="F65" s="18"/>
      <c r="G65" s="19"/>
      <c r="H65" s="12"/>
      <c r="I65" s="16"/>
    </row>
    <row r="66" spans="1:9" s="8" customFormat="1" x14ac:dyDescent="0.2">
      <c r="A66" s="10">
        <v>22101</v>
      </c>
      <c r="B66" s="11">
        <v>42776</v>
      </c>
      <c r="C66" s="12">
        <v>70.36</v>
      </c>
      <c r="D66" s="12">
        <v>5.36</v>
      </c>
      <c r="E66" s="13"/>
      <c r="F66" s="18"/>
      <c r="G66" s="19"/>
      <c r="H66" s="12"/>
      <c r="I66" s="16"/>
    </row>
    <row r="67" spans="1:9" s="8" customFormat="1" x14ac:dyDescent="0.2">
      <c r="A67" s="10">
        <v>22102</v>
      </c>
      <c r="B67" s="11">
        <v>42776</v>
      </c>
      <c r="C67" s="12">
        <v>64.95</v>
      </c>
      <c r="D67" s="12">
        <v>4.95</v>
      </c>
      <c r="E67" s="15"/>
      <c r="F67" s="21"/>
      <c r="G67" s="22"/>
      <c r="H67" s="10"/>
      <c r="I67" s="16"/>
    </row>
    <row r="68" spans="1:9" s="8" customFormat="1" x14ac:dyDescent="0.2">
      <c r="A68" s="10">
        <v>22103</v>
      </c>
      <c r="B68" s="11">
        <v>42776</v>
      </c>
      <c r="C68" s="12">
        <v>287.95</v>
      </c>
      <c r="D68" s="12">
        <v>21.95</v>
      </c>
      <c r="E68" s="13"/>
      <c r="F68" s="18"/>
      <c r="G68" s="19"/>
      <c r="H68" s="12"/>
      <c r="I68" s="16"/>
    </row>
    <row r="69" spans="1:9" s="8" customFormat="1" x14ac:dyDescent="0.2">
      <c r="A69" s="10">
        <v>22104</v>
      </c>
      <c r="B69" s="11">
        <v>42776</v>
      </c>
      <c r="C69" s="12">
        <v>14.02</v>
      </c>
      <c r="D69" s="12">
        <v>1.07</v>
      </c>
      <c r="E69" s="13"/>
      <c r="F69" s="20">
        <v>0</v>
      </c>
      <c r="G69" s="20">
        <f>+F69*0.97831</f>
        <v>0</v>
      </c>
      <c r="H69" s="12"/>
      <c r="I69" s="16"/>
    </row>
    <row r="70" spans="1:9" s="8" customFormat="1" x14ac:dyDescent="0.2">
      <c r="A70" s="10">
        <v>22105</v>
      </c>
      <c r="B70" s="11">
        <v>42777</v>
      </c>
      <c r="C70" s="12">
        <v>254.39</v>
      </c>
      <c r="D70" s="12">
        <v>19.39</v>
      </c>
      <c r="E70" s="15" t="s">
        <v>533</v>
      </c>
      <c r="F70" s="206"/>
      <c r="G70" s="206"/>
      <c r="H70" s="10"/>
      <c r="I70" s="16"/>
    </row>
    <row r="71" spans="1:9" s="8" customFormat="1" x14ac:dyDescent="0.2">
      <c r="A71" s="10">
        <v>22106</v>
      </c>
      <c r="B71" s="11">
        <v>42777</v>
      </c>
      <c r="C71" s="12">
        <v>400</v>
      </c>
      <c r="D71" s="12"/>
      <c r="E71" s="13"/>
      <c r="F71" s="20"/>
      <c r="G71" s="20"/>
      <c r="H71" s="12"/>
      <c r="I71" s="16"/>
    </row>
    <row r="72" spans="1:9" s="8" customFormat="1" x14ac:dyDescent="0.2">
      <c r="A72" s="10">
        <v>22107</v>
      </c>
      <c r="B72" s="11">
        <v>42777</v>
      </c>
      <c r="C72" s="12">
        <v>350</v>
      </c>
      <c r="D72" s="12">
        <v>26.67</v>
      </c>
      <c r="E72" s="15" t="s">
        <v>21</v>
      </c>
      <c r="F72" s="206"/>
      <c r="G72" s="206"/>
      <c r="H72" s="10"/>
      <c r="I72" s="16"/>
    </row>
    <row r="73" spans="1:9" s="8" customFormat="1" x14ac:dyDescent="0.2">
      <c r="A73" s="10">
        <v>22108</v>
      </c>
      <c r="B73" s="11">
        <v>42777</v>
      </c>
      <c r="C73" s="12">
        <v>128.82</v>
      </c>
      <c r="D73" s="12">
        <v>9.82</v>
      </c>
      <c r="E73" s="15" t="s">
        <v>533</v>
      </c>
      <c r="F73" s="206"/>
      <c r="G73" s="206"/>
      <c r="H73" s="10"/>
      <c r="I73" s="16"/>
    </row>
    <row r="74" spans="1:9" s="8" customFormat="1" x14ac:dyDescent="0.2">
      <c r="A74" s="10">
        <v>22109</v>
      </c>
      <c r="B74" s="11">
        <v>42777</v>
      </c>
      <c r="C74" s="12">
        <v>153.66</v>
      </c>
      <c r="D74" s="12">
        <v>11.71</v>
      </c>
      <c r="E74" s="17"/>
      <c r="F74" s="20">
        <v>0</v>
      </c>
      <c r="G74" s="20">
        <f>+F74*0.97831</f>
        <v>0</v>
      </c>
      <c r="H74" s="161" t="s">
        <v>928</v>
      </c>
      <c r="I74" s="16"/>
    </row>
    <row r="75" spans="1:9" s="8" customFormat="1" x14ac:dyDescent="0.2">
      <c r="A75" s="10">
        <v>22110</v>
      </c>
      <c r="B75" s="11">
        <v>42779</v>
      </c>
      <c r="C75" s="12">
        <v>67.12</v>
      </c>
      <c r="D75" s="12">
        <v>5.12</v>
      </c>
      <c r="E75" s="17"/>
      <c r="F75" s="18"/>
      <c r="G75" s="19"/>
      <c r="H75" s="12"/>
      <c r="I75" s="16"/>
    </row>
    <row r="76" spans="1:9" s="8" customFormat="1" x14ac:dyDescent="0.2">
      <c r="A76" s="10">
        <v>22111</v>
      </c>
      <c r="B76" s="11">
        <v>42779</v>
      </c>
      <c r="C76" s="12">
        <v>80</v>
      </c>
      <c r="D76" s="12">
        <v>6.1</v>
      </c>
      <c r="E76" s="15" t="s">
        <v>13</v>
      </c>
      <c r="H76" s="10"/>
      <c r="I76" s="16"/>
    </row>
    <row r="77" spans="1:9" s="8" customFormat="1" x14ac:dyDescent="0.2">
      <c r="A77" s="10">
        <v>22112</v>
      </c>
      <c r="B77" s="11">
        <v>42779</v>
      </c>
      <c r="C77" s="12">
        <v>46.55</v>
      </c>
      <c r="D77" s="12">
        <v>3.55</v>
      </c>
      <c r="E77" s="15" t="s">
        <v>11</v>
      </c>
      <c r="F77" s="21"/>
      <c r="G77" s="22"/>
      <c r="H77" s="10"/>
      <c r="I77" s="16"/>
    </row>
    <row r="78" spans="1:9" s="8" customFormat="1" x14ac:dyDescent="0.2">
      <c r="A78" s="10">
        <v>22113</v>
      </c>
      <c r="B78" s="11">
        <v>42779</v>
      </c>
      <c r="C78" s="12">
        <v>31.48</v>
      </c>
      <c r="D78" s="12">
        <v>2.4</v>
      </c>
      <c r="E78" s="15" t="s">
        <v>11</v>
      </c>
      <c r="H78" s="10"/>
      <c r="I78" s="16"/>
    </row>
    <row r="79" spans="1:9" s="8" customFormat="1" x14ac:dyDescent="0.2">
      <c r="A79" s="10">
        <v>22114</v>
      </c>
      <c r="B79" s="11">
        <v>42779</v>
      </c>
      <c r="C79" s="12">
        <v>90</v>
      </c>
      <c r="D79" s="12"/>
      <c r="E79" s="15" t="s">
        <v>11</v>
      </c>
      <c r="F79" s="21"/>
      <c r="G79" s="22"/>
      <c r="H79" s="10"/>
      <c r="I79" s="16"/>
    </row>
    <row r="80" spans="1:9" s="8" customFormat="1" x14ac:dyDescent="0.2">
      <c r="A80" s="10">
        <v>22115</v>
      </c>
      <c r="B80" s="11">
        <v>42779</v>
      </c>
      <c r="C80" s="12">
        <v>320.95999999999998</v>
      </c>
      <c r="D80" s="12">
        <v>24.46</v>
      </c>
      <c r="E80" s="13" t="s">
        <v>929</v>
      </c>
      <c r="H80" s="12"/>
      <c r="I80" s="16"/>
    </row>
    <row r="81" spans="1:9" s="8" customFormat="1" x14ac:dyDescent="0.2">
      <c r="A81" s="10">
        <v>22116</v>
      </c>
      <c r="B81" s="11">
        <v>42779</v>
      </c>
      <c r="C81" s="12">
        <v>436.25</v>
      </c>
      <c r="D81" s="12">
        <v>33.25</v>
      </c>
      <c r="E81" s="13" t="s">
        <v>930</v>
      </c>
      <c r="H81" s="12"/>
      <c r="I81" s="16"/>
    </row>
    <row r="82" spans="1:9" s="8" customFormat="1" x14ac:dyDescent="0.2">
      <c r="A82" s="10">
        <v>22117</v>
      </c>
      <c r="B82" s="11">
        <v>42779</v>
      </c>
      <c r="C82" s="12">
        <v>192</v>
      </c>
      <c r="D82" s="12"/>
      <c r="E82" s="15" t="s">
        <v>21</v>
      </c>
      <c r="F82" s="21"/>
      <c r="G82" s="22"/>
      <c r="H82" s="10"/>
      <c r="I82" s="16"/>
    </row>
    <row r="83" spans="1:9" s="8" customFormat="1" x14ac:dyDescent="0.2">
      <c r="A83" s="10">
        <v>22118</v>
      </c>
      <c r="B83" s="11">
        <v>42779</v>
      </c>
      <c r="C83" s="12">
        <v>218.12</v>
      </c>
      <c r="D83" s="12">
        <v>16.62</v>
      </c>
      <c r="E83" s="15" t="s">
        <v>7</v>
      </c>
      <c r="H83" s="10"/>
      <c r="I83" s="16"/>
    </row>
    <row r="84" spans="1:9" s="8" customFormat="1" x14ac:dyDescent="0.2">
      <c r="A84" s="10">
        <v>22119</v>
      </c>
      <c r="B84" s="11">
        <v>42779</v>
      </c>
      <c r="C84" s="12">
        <v>32.479999999999997</v>
      </c>
      <c r="D84" s="12">
        <v>2.48</v>
      </c>
      <c r="E84" s="15" t="s">
        <v>11</v>
      </c>
      <c r="F84" s="21"/>
      <c r="G84" s="22"/>
      <c r="H84" s="10"/>
      <c r="I84" s="16"/>
    </row>
    <row r="85" spans="1:9" s="8" customFormat="1" x14ac:dyDescent="0.2">
      <c r="A85" s="10">
        <v>22120</v>
      </c>
      <c r="B85" s="11">
        <v>42779</v>
      </c>
      <c r="C85" s="12">
        <v>159.13</v>
      </c>
      <c r="D85" s="12">
        <v>12.13</v>
      </c>
      <c r="E85" s="15" t="s">
        <v>533</v>
      </c>
      <c r="F85" s="134">
        <f>+C76+C77+C78+C79+C83+76.71+C84</f>
        <v>575.34</v>
      </c>
      <c r="G85" s="123">
        <v>566.6</v>
      </c>
      <c r="H85" s="161" t="s">
        <v>931</v>
      </c>
      <c r="I85" s="16"/>
    </row>
    <row r="86" spans="1:9" s="8" customFormat="1" x14ac:dyDescent="0.2">
      <c r="A86" s="10">
        <v>22121</v>
      </c>
      <c r="B86" s="11">
        <v>42780</v>
      </c>
      <c r="C86" s="12">
        <v>19</v>
      </c>
      <c r="D86" s="12"/>
      <c r="E86" s="15" t="s">
        <v>932</v>
      </c>
      <c r="I86" s="16"/>
    </row>
    <row r="87" spans="1:9" s="8" customFormat="1" x14ac:dyDescent="0.2">
      <c r="A87" s="10">
        <v>22122</v>
      </c>
      <c r="B87" s="11">
        <v>42780</v>
      </c>
      <c r="C87" s="12">
        <v>220.29</v>
      </c>
      <c r="D87" s="12">
        <v>16.79</v>
      </c>
      <c r="E87" s="15" t="s">
        <v>11</v>
      </c>
      <c r="I87" s="16"/>
    </row>
    <row r="88" spans="1:9" s="8" customFormat="1" x14ac:dyDescent="0.2">
      <c r="A88" s="10">
        <v>22123</v>
      </c>
      <c r="B88" s="11">
        <v>42780</v>
      </c>
      <c r="C88" s="12">
        <v>312</v>
      </c>
      <c r="D88" s="12">
        <v>23.78</v>
      </c>
      <c r="E88" s="15" t="s">
        <v>11</v>
      </c>
      <c r="I88" s="16"/>
    </row>
    <row r="89" spans="1:9" s="8" customFormat="1" x14ac:dyDescent="0.2">
      <c r="A89" s="10">
        <v>22124</v>
      </c>
      <c r="B89" s="11">
        <v>42780</v>
      </c>
      <c r="C89" s="12">
        <v>3.1900000000000004</v>
      </c>
      <c r="D89" s="12">
        <v>0.24</v>
      </c>
      <c r="E89" s="17"/>
      <c r="F89" s="18"/>
      <c r="G89" s="19"/>
      <c r="H89" s="12"/>
      <c r="I89" s="16"/>
    </row>
    <row r="90" spans="1:9" s="8" customFormat="1" x14ac:dyDescent="0.2">
      <c r="A90" s="10">
        <v>22125</v>
      </c>
      <c r="B90" s="11">
        <v>42780</v>
      </c>
      <c r="C90" s="12">
        <v>19.489999999999998</v>
      </c>
      <c r="D90" s="12">
        <v>1.49</v>
      </c>
      <c r="E90" s="17"/>
      <c r="I90" s="16"/>
    </row>
    <row r="91" spans="1:9" s="8" customFormat="1" x14ac:dyDescent="0.2">
      <c r="A91" s="10">
        <v>22126</v>
      </c>
      <c r="B91" s="11">
        <v>42780</v>
      </c>
      <c r="C91" s="12">
        <v>6</v>
      </c>
      <c r="D91" s="12"/>
      <c r="E91" s="15" t="s">
        <v>417</v>
      </c>
      <c r="F91" s="21"/>
      <c r="G91" s="22"/>
      <c r="H91" s="10"/>
      <c r="I91" s="16"/>
    </row>
    <row r="92" spans="1:9" s="8" customFormat="1" x14ac:dyDescent="0.2">
      <c r="A92" s="10">
        <v>22127</v>
      </c>
      <c r="B92" s="11">
        <v>42780</v>
      </c>
      <c r="C92" s="12">
        <v>213.92000000000002</v>
      </c>
      <c r="D92" s="12"/>
      <c r="E92" s="15" t="s">
        <v>363</v>
      </c>
      <c r="F92" s="21"/>
      <c r="G92" s="22"/>
      <c r="H92" s="10"/>
      <c r="I92" s="16"/>
    </row>
    <row r="93" spans="1:9" s="8" customFormat="1" x14ac:dyDescent="0.2">
      <c r="A93" s="10">
        <v>22128</v>
      </c>
      <c r="B93" s="11">
        <v>42780</v>
      </c>
      <c r="C93" s="12">
        <v>27</v>
      </c>
      <c r="D93" s="12"/>
      <c r="E93" s="13" t="s">
        <v>568</v>
      </c>
      <c r="I93" s="16"/>
    </row>
    <row r="94" spans="1:9" s="8" customFormat="1" x14ac:dyDescent="0.2">
      <c r="A94" s="10">
        <v>22129</v>
      </c>
      <c r="B94" s="11">
        <v>42780</v>
      </c>
      <c r="C94" s="12">
        <v>22</v>
      </c>
      <c r="D94" s="12">
        <v>1.68</v>
      </c>
      <c r="E94" s="17"/>
      <c r="F94" s="18"/>
      <c r="G94" s="19"/>
      <c r="H94" s="12"/>
      <c r="I94" s="16"/>
    </row>
    <row r="95" spans="1:9" s="8" customFormat="1" x14ac:dyDescent="0.2">
      <c r="A95" s="10">
        <v>22130</v>
      </c>
      <c r="B95" s="11">
        <v>42780</v>
      </c>
      <c r="C95" s="12">
        <v>133</v>
      </c>
      <c r="D95" s="12">
        <v>10.14</v>
      </c>
      <c r="E95" s="17"/>
      <c r="F95" s="20">
        <f>+C87+C88+C91</f>
        <v>538.29</v>
      </c>
      <c r="G95" s="20">
        <v>530.66</v>
      </c>
      <c r="H95" s="161"/>
      <c r="I95" s="16"/>
    </row>
    <row r="96" spans="1:9" s="8" customFormat="1" x14ac:dyDescent="0.2">
      <c r="A96" s="10">
        <v>22131</v>
      </c>
      <c r="B96" s="11">
        <v>42781</v>
      </c>
      <c r="C96" s="12">
        <v>63.87</v>
      </c>
      <c r="D96" s="12">
        <v>4.87</v>
      </c>
      <c r="E96" s="15" t="s">
        <v>11</v>
      </c>
      <c r="F96" s="21"/>
      <c r="G96" s="22"/>
      <c r="H96" s="10"/>
      <c r="I96" s="16"/>
    </row>
    <row r="97" spans="1:9" s="8" customFormat="1" x14ac:dyDescent="0.2">
      <c r="A97" s="10">
        <v>22132</v>
      </c>
      <c r="B97" s="11">
        <v>42781</v>
      </c>
      <c r="C97" s="12">
        <v>16.75</v>
      </c>
      <c r="D97" s="12">
        <v>1.28</v>
      </c>
      <c r="E97" s="17"/>
      <c r="F97" s="18"/>
      <c r="G97" s="19"/>
      <c r="H97" s="12"/>
      <c r="I97" s="16"/>
    </row>
    <row r="98" spans="1:9" s="8" customFormat="1" x14ac:dyDescent="0.2">
      <c r="A98" s="10">
        <v>22133</v>
      </c>
      <c r="B98" s="11">
        <v>42781</v>
      </c>
      <c r="C98" s="12">
        <v>4</v>
      </c>
      <c r="D98" s="12"/>
      <c r="E98" s="13" t="s">
        <v>19</v>
      </c>
      <c r="F98" s="18"/>
      <c r="G98" s="19"/>
      <c r="H98" s="12"/>
      <c r="I98" s="16"/>
    </row>
    <row r="99" spans="1:9" s="8" customFormat="1" x14ac:dyDescent="0.2">
      <c r="A99" s="10">
        <v>22134</v>
      </c>
      <c r="B99" s="11">
        <v>42781</v>
      </c>
      <c r="C99" s="12">
        <v>-18.25</v>
      </c>
      <c r="D99" s="12">
        <v>-1.39</v>
      </c>
      <c r="E99" s="17"/>
      <c r="I99" s="16"/>
    </row>
    <row r="100" spans="1:9" s="8" customFormat="1" x14ac:dyDescent="0.2">
      <c r="A100" s="10">
        <v>22135</v>
      </c>
      <c r="B100" s="11">
        <v>42781</v>
      </c>
      <c r="C100" s="12">
        <v>16.18</v>
      </c>
      <c r="D100" s="12">
        <v>1.23</v>
      </c>
      <c r="E100" s="17"/>
      <c r="F100" s="18"/>
      <c r="G100" s="19"/>
      <c r="H100" s="12"/>
      <c r="I100" s="16"/>
    </row>
    <row r="101" spans="1:9" s="8" customFormat="1" x14ac:dyDescent="0.2">
      <c r="A101" s="10">
        <v>22136</v>
      </c>
      <c r="B101" s="11">
        <v>42781</v>
      </c>
      <c r="C101" s="12">
        <v>15.16</v>
      </c>
      <c r="D101" s="12">
        <v>1.1599999999999999</v>
      </c>
      <c r="E101" s="17"/>
      <c r="I101" s="16"/>
    </row>
    <row r="102" spans="1:9" s="8" customFormat="1" x14ac:dyDescent="0.2">
      <c r="A102" s="10">
        <v>22137</v>
      </c>
      <c r="B102" s="11">
        <v>42781</v>
      </c>
      <c r="C102" s="12">
        <v>21.65</v>
      </c>
      <c r="D102" s="12">
        <v>1.65</v>
      </c>
      <c r="E102" s="15" t="s">
        <v>21</v>
      </c>
      <c r="F102" s="18"/>
      <c r="G102" s="19"/>
      <c r="H102" s="12"/>
      <c r="I102" s="16"/>
    </row>
    <row r="103" spans="1:9" s="8" customFormat="1" x14ac:dyDescent="0.2">
      <c r="A103" s="10">
        <v>22138</v>
      </c>
      <c r="B103" s="11">
        <v>42781</v>
      </c>
      <c r="C103" s="12">
        <v>104.9</v>
      </c>
      <c r="D103" s="12"/>
      <c r="E103" s="15" t="s">
        <v>363</v>
      </c>
      <c r="I103" s="16"/>
    </row>
    <row r="104" spans="1:9" s="8" customFormat="1" x14ac:dyDescent="0.2">
      <c r="A104" s="10">
        <v>22139</v>
      </c>
      <c r="B104" s="11">
        <v>42781</v>
      </c>
      <c r="C104" s="12">
        <v>78.48</v>
      </c>
      <c r="D104" s="12">
        <v>5.98</v>
      </c>
      <c r="E104" s="17"/>
      <c r="F104" s="18"/>
      <c r="G104" s="19"/>
      <c r="H104" s="12"/>
      <c r="I104" s="16"/>
    </row>
    <row r="105" spans="1:9" s="8" customFormat="1" x14ac:dyDescent="0.2">
      <c r="A105" s="10">
        <v>22140</v>
      </c>
      <c r="B105" s="11">
        <v>42781</v>
      </c>
      <c r="C105" s="12">
        <v>119.08</v>
      </c>
      <c r="D105" s="12">
        <v>9.08</v>
      </c>
      <c r="E105" s="17"/>
      <c r="F105" s="18"/>
      <c r="G105" s="19"/>
      <c r="H105" s="12"/>
      <c r="I105" s="16"/>
    </row>
    <row r="106" spans="1:9" s="8" customFormat="1" x14ac:dyDescent="0.2">
      <c r="A106" s="10">
        <v>22141</v>
      </c>
      <c r="B106" s="11">
        <v>42781</v>
      </c>
      <c r="C106" s="12">
        <v>155</v>
      </c>
      <c r="D106" s="12">
        <v>11.81</v>
      </c>
      <c r="E106" s="15"/>
      <c r="I106" s="16"/>
    </row>
    <row r="107" spans="1:9" s="8" customFormat="1" x14ac:dyDescent="0.2">
      <c r="A107" s="10">
        <v>22142</v>
      </c>
      <c r="B107" s="11">
        <v>42781</v>
      </c>
      <c r="C107" s="12">
        <v>415.68</v>
      </c>
      <c r="D107" s="12">
        <v>31.68</v>
      </c>
      <c r="E107" s="13"/>
      <c r="F107" s="20">
        <f>+C96+222.14</f>
        <v>286.01</v>
      </c>
      <c r="G107" s="20">
        <v>283.5</v>
      </c>
      <c r="H107" s="161"/>
      <c r="I107" s="16"/>
    </row>
    <row r="108" spans="1:9" s="8" customFormat="1" x14ac:dyDescent="0.2">
      <c r="A108" s="10">
        <v>22143</v>
      </c>
      <c r="B108" s="11">
        <v>42782</v>
      </c>
      <c r="C108" s="12">
        <v>32.479999999999997</v>
      </c>
      <c r="D108" s="12">
        <v>2.48</v>
      </c>
      <c r="E108" s="15" t="s">
        <v>11</v>
      </c>
      <c r="F108" s="21"/>
      <c r="G108" s="22"/>
      <c r="H108" s="10"/>
      <c r="I108" s="16"/>
    </row>
    <row r="109" spans="1:9" s="8" customFormat="1" x14ac:dyDescent="0.2">
      <c r="A109" s="10">
        <v>22144</v>
      </c>
      <c r="B109" s="11">
        <v>42782</v>
      </c>
      <c r="C109" s="12">
        <v>96.34</v>
      </c>
      <c r="D109" s="12">
        <v>7.34</v>
      </c>
      <c r="E109" s="15" t="s">
        <v>11</v>
      </c>
      <c r="I109" s="16"/>
    </row>
    <row r="110" spans="1:9" s="8" customFormat="1" x14ac:dyDescent="0.2">
      <c r="A110" s="10">
        <v>22145</v>
      </c>
      <c r="B110" s="11">
        <v>42782</v>
      </c>
      <c r="C110" s="12">
        <v>29.4</v>
      </c>
      <c r="D110" s="12"/>
      <c r="E110" s="15" t="s">
        <v>53</v>
      </c>
      <c r="F110" s="21"/>
      <c r="G110" s="22"/>
      <c r="H110" s="10"/>
      <c r="I110" s="16"/>
    </row>
    <row r="111" spans="1:9" s="8" customFormat="1" x14ac:dyDescent="0.2">
      <c r="A111" s="10">
        <v>22146</v>
      </c>
      <c r="B111" s="11">
        <v>42782</v>
      </c>
      <c r="C111" s="12">
        <v>25.8</v>
      </c>
      <c r="D111" s="12"/>
      <c r="E111" s="15" t="s">
        <v>53</v>
      </c>
      <c r="I111" s="16"/>
    </row>
    <row r="112" spans="1:9" s="8" customFormat="1" x14ac:dyDescent="0.2">
      <c r="A112" s="10">
        <v>22147</v>
      </c>
      <c r="B112" s="11">
        <v>42782</v>
      </c>
      <c r="C112" s="12">
        <v>146.13999999999999</v>
      </c>
      <c r="D112" s="12">
        <v>11.14</v>
      </c>
      <c r="E112" s="17"/>
      <c r="I112" s="16"/>
    </row>
    <row r="113" spans="1:9" s="8" customFormat="1" x14ac:dyDescent="0.2">
      <c r="A113" s="10">
        <v>22148</v>
      </c>
      <c r="B113" s="11">
        <v>42782</v>
      </c>
      <c r="C113" s="12">
        <v>212.71</v>
      </c>
      <c r="D113" s="12">
        <v>16.21</v>
      </c>
      <c r="E113" s="15" t="s">
        <v>21</v>
      </c>
      <c r="F113" s="21"/>
      <c r="G113" s="22"/>
      <c r="H113" s="10"/>
      <c r="I113" s="16"/>
    </row>
    <row r="114" spans="1:9" s="8" customFormat="1" x14ac:dyDescent="0.2">
      <c r="A114" s="10">
        <v>22149</v>
      </c>
      <c r="B114" s="11">
        <v>42782</v>
      </c>
      <c r="C114" s="12">
        <v>92.01</v>
      </c>
      <c r="D114" s="12">
        <v>7.01</v>
      </c>
      <c r="E114" s="15" t="s">
        <v>933</v>
      </c>
      <c r="I114" s="16"/>
    </row>
    <row r="115" spans="1:9" s="8" customFormat="1" x14ac:dyDescent="0.2">
      <c r="A115" s="10">
        <v>22150</v>
      </c>
      <c r="B115" s="11">
        <v>42782</v>
      </c>
      <c r="C115" s="12">
        <v>210.01</v>
      </c>
      <c r="D115" s="12">
        <v>16.010000000000002</v>
      </c>
      <c r="E115" s="15" t="s">
        <v>11</v>
      </c>
      <c r="F115" s="21"/>
      <c r="G115" s="22"/>
      <c r="H115" s="10"/>
      <c r="I115" s="16"/>
    </row>
    <row r="116" spans="1:9" s="8" customFormat="1" x14ac:dyDescent="0.2">
      <c r="A116" s="10">
        <v>22151</v>
      </c>
      <c r="B116" s="11">
        <v>42782</v>
      </c>
      <c r="C116" s="12">
        <v>92.01</v>
      </c>
      <c r="D116" s="12">
        <v>7.01</v>
      </c>
      <c r="E116" s="13"/>
      <c r="F116" s="18"/>
      <c r="G116" s="19"/>
      <c r="H116" s="12"/>
      <c r="I116" s="16"/>
    </row>
    <row r="117" spans="1:9" s="8" customFormat="1" x14ac:dyDescent="0.2">
      <c r="A117" s="10">
        <v>22152</v>
      </c>
      <c r="B117" s="11">
        <v>42782</v>
      </c>
      <c r="C117" s="12">
        <v>52.5</v>
      </c>
      <c r="D117" s="12">
        <v>4</v>
      </c>
      <c r="E117" s="15" t="s">
        <v>11</v>
      </c>
      <c r="I117" s="16"/>
    </row>
    <row r="118" spans="1:9" s="8" customFormat="1" x14ac:dyDescent="0.2">
      <c r="A118" s="10">
        <v>22153</v>
      </c>
      <c r="B118" s="11">
        <v>42782</v>
      </c>
      <c r="C118" s="12">
        <v>75.78</v>
      </c>
      <c r="D118" s="12">
        <v>5.78</v>
      </c>
      <c r="E118" s="15" t="s">
        <v>7</v>
      </c>
      <c r="F118" s="21"/>
      <c r="G118" s="22"/>
      <c r="H118" s="10"/>
      <c r="I118" s="16"/>
    </row>
    <row r="119" spans="1:9" s="8" customFormat="1" x14ac:dyDescent="0.2">
      <c r="A119" s="10">
        <v>22154</v>
      </c>
      <c r="B119" s="11">
        <v>42782</v>
      </c>
      <c r="C119" s="12">
        <v>12</v>
      </c>
      <c r="D119" s="12">
        <v>0.91</v>
      </c>
      <c r="E119" s="13"/>
      <c r="F119" s="18"/>
      <c r="G119" s="19"/>
      <c r="H119" s="12"/>
      <c r="I119" s="16"/>
    </row>
    <row r="120" spans="1:9" s="8" customFormat="1" x14ac:dyDescent="0.2">
      <c r="A120" s="10">
        <v>22155</v>
      </c>
      <c r="B120" s="11">
        <v>42782</v>
      </c>
      <c r="C120" s="12">
        <v>162.91999999999999</v>
      </c>
      <c r="D120" s="12">
        <v>12.42</v>
      </c>
      <c r="E120" s="15" t="s">
        <v>11</v>
      </c>
      <c r="F120" s="21"/>
      <c r="G120" s="22"/>
      <c r="H120" s="10"/>
      <c r="I120" s="16"/>
    </row>
    <row r="121" spans="1:9" s="8" customFormat="1" x14ac:dyDescent="0.2">
      <c r="A121" s="10">
        <v>22156</v>
      </c>
      <c r="B121" s="11">
        <v>42782</v>
      </c>
      <c r="C121" s="12">
        <v>42.000000000000007</v>
      </c>
      <c r="D121" s="12">
        <v>3.21</v>
      </c>
      <c r="E121" s="15" t="s">
        <v>11</v>
      </c>
      <c r="F121" s="21"/>
      <c r="G121" s="22"/>
      <c r="H121" s="10"/>
      <c r="I121" s="16"/>
    </row>
    <row r="122" spans="1:9" s="8" customFormat="1" x14ac:dyDescent="0.2">
      <c r="A122" s="10">
        <v>22157</v>
      </c>
      <c r="B122" s="11">
        <v>42782</v>
      </c>
      <c r="C122" s="12">
        <v>75.78</v>
      </c>
      <c r="D122" s="12">
        <v>5.78</v>
      </c>
      <c r="E122" s="13"/>
      <c r="F122" s="18"/>
      <c r="G122" s="19"/>
      <c r="H122" s="12"/>
      <c r="I122" s="16"/>
    </row>
    <row r="123" spans="1:9" s="8" customFormat="1" x14ac:dyDescent="0.2">
      <c r="A123" s="10">
        <v>22158</v>
      </c>
      <c r="B123" s="11">
        <v>42782</v>
      </c>
      <c r="C123" s="12">
        <v>348.57</v>
      </c>
      <c r="D123" s="12">
        <v>26.57</v>
      </c>
      <c r="E123" s="15" t="s">
        <v>11</v>
      </c>
      <c r="F123" s="20">
        <f>+C108+C109+56.25+40+C110+C111+C115+C117+C118+C120+C121+C123</f>
        <v>1172.05</v>
      </c>
      <c r="G123" s="20">
        <v>1156.4100000000001</v>
      </c>
      <c r="H123" s="161"/>
      <c r="I123" s="16"/>
    </row>
    <row r="124" spans="1:9" s="8" customFormat="1" x14ac:dyDescent="0.2">
      <c r="A124" s="10">
        <v>22159</v>
      </c>
      <c r="B124" s="11">
        <v>42783</v>
      </c>
      <c r="C124" s="12">
        <v>14.07</v>
      </c>
      <c r="D124" s="12">
        <v>1.07</v>
      </c>
      <c r="E124" s="15" t="s">
        <v>11</v>
      </c>
      <c r="I124" s="16"/>
    </row>
    <row r="125" spans="1:9" s="8" customFormat="1" x14ac:dyDescent="0.2">
      <c r="A125" s="10">
        <v>22160</v>
      </c>
      <c r="B125" s="11">
        <v>42783</v>
      </c>
      <c r="C125" s="12">
        <v>134.88</v>
      </c>
      <c r="D125" s="12">
        <v>10.28</v>
      </c>
      <c r="E125" s="15" t="s">
        <v>11</v>
      </c>
      <c r="I125" s="16"/>
    </row>
    <row r="126" spans="1:9" s="8" customFormat="1" x14ac:dyDescent="0.2">
      <c r="A126" s="10">
        <v>22161</v>
      </c>
      <c r="B126" s="11">
        <v>42783</v>
      </c>
      <c r="C126" s="12">
        <v>131.52000000000001</v>
      </c>
      <c r="D126" s="12">
        <v>10.02</v>
      </c>
      <c r="E126" s="15" t="s">
        <v>11</v>
      </c>
      <c r="F126" s="21"/>
      <c r="G126" s="22"/>
      <c r="H126" s="10"/>
      <c r="I126" s="16"/>
    </row>
    <row r="127" spans="1:9" s="8" customFormat="1" x14ac:dyDescent="0.2">
      <c r="A127" s="10">
        <v>22162</v>
      </c>
      <c r="B127" s="11">
        <v>42783</v>
      </c>
      <c r="C127" s="12">
        <v>216.5</v>
      </c>
      <c r="D127" s="12">
        <v>16.5</v>
      </c>
      <c r="E127" s="13"/>
      <c r="F127" s="18"/>
      <c r="G127" s="19"/>
      <c r="H127" s="12"/>
      <c r="I127" s="16"/>
    </row>
    <row r="128" spans="1:9" s="8" customFormat="1" x14ac:dyDescent="0.2">
      <c r="A128" s="10">
        <v>22163</v>
      </c>
      <c r="B128" s="11">
        <v>42783</v>
      </c>
      <c r="C128" s="12">
        <v>45</v>
      </c>
      <c r="D128" s="12">
        <v>3.43</v>
      </c>
      <c r="E128" s="15"/>
      <c r="I128" s="16"/>
    </row>
    <row r="129" spans="1:9" s="8" customFormat="1" x14ac:dyDescent="0.2">
      <c r="A129" s="10">
        <v>22164</v>
      </c>
      <c r="B129" s="11">
        <v>42783</v>
      </c>
      <c r="C129" s="12">
        <v>261.97000000000003</v>
      </c>
      <c r="D129" s="12">
        <v>19.97</v>
      </c>
      <c r="E129" s="15" t="s">
        <v>533</v>
      </c>
      <c r="I129" s="16"/>
    </row>
    <row r="130" spans="1:9" s="8" customFormat="1" x14ac:dyDescent="0.2">
      <c r="A130" s="10">
        <v>22165</v>
      </c>
      <c r="B130" s="11">
        <v>42783</v>
      </c>
      <c r="C130" s="12">
        <v>363.18</v>
      </c>
      <c r="D130" s="12">
        <v>27.68</v>
      </c>
      <c r="E130" s="15" t="s">
        <v>533</v>
      </c>
      <c r="I130" s="16"/>
    </row>
    <row r="131" spans="1:9" s="8" customFormat="1" x14ac:dyDescent="0.2">
      <c r="A131" s="10">
        <v>22166</v>
      </c>
      <c r="B131" s="11">
        <v>42783</v>
      </c>
      <c r="C131" s="12">
        <v>14.85</v>
      </c>
      <c r="D131" s="12"/>
      <c r="E131" s="15" t="s">
        <v>934</v>
      </c>
      <c r="I131" s="16"/>
    </row>
    <row r="132" spans="1:9" s="8" customFormat="1" x14ac:dyDescent="0.2">
      <c r="A132" s="10">
        <v>22167</v>
      </c>
      <c r="B132" s="11">
        <v>42783</v>
      </c>
      <c r="C132" s="12">
        <v>-40</v>
      </c>
      <c r="D132" s="12">
        <v>-3.05</v>
      </c>
      <c r="E132" s="15" t="s">
        <v>21</v>
      </c>
      <c r="F132" s="21"/>
      <c r="G132" s="22"/>
      <c r="H132" s="10"/>
      <c r="I132" s="16"/>
    </row>
    <row r="133" spans="1:9" s="8" customFormat="1" x14ac:dyDescent="0.2">
      <c r="A133" s="10">
        <v>22168</v>
      </c>
      <c r="B133" s="11">
        <v>42783</v>
      </c>
      <c r="C133" s="12">
        <v>87.68</v>
      </c>
      <c r="D133" s="12">
        <v>6.68</v>
      </c>
      <c r="E133" s="15" t="s">
        <v>11</v>
      </c>
      <c r="F133" s="21"/>
      <c r="G133" s="22"/>
      <c r="H133" s="10"/>
      <c r="I133" s="16"/>
    </row>
    <row r="134" spans="1:9" s="8" customFormat="1" x14ac:dyDescent="0.2">
      <c r="A134" s="10">
        <v>22169</v>
      </c>
      <c r="B134" s="11">
        <v>42783</v>
      </c>
      <c r="C134" s="12">
        <v>53.04</v>
      </c>
      <c r="D134" s="12">
        <v>4.04</v>
      </c>
      <c r="E134" s="15" t="s">
        <v>11</v>
      </c>
      <c r="I134" s="16"/>
    </row>
    <row r="135" spans="1:9" s="8" customFormat="1" x14ac:dyDescent="0.2">
      <c r="A135" s="10">
        <v>22170</v>
      </c>
      <c r="B135" s="11">
        <v>42783</v>
      </c>
      <c r="C135" s="12">
        <v>8.66</v>
      </c>
      <c r="D135" s="12">
        <v>0.66</v>
      </c>
      <c r="E135" s="15" t="s">
        <v>21</v>
      </c>
      <c r="I135" s="16"/>
    </row>
    <row r="136" spans="1:9" s="8" customFormat="1" x14ac:dyDescent="0.2">
      <c r="A136" s="10">
        <v>22171</v>
      </c>
      <c r="B136" s="11">
        <v>42783</v>
      </c>
      <c r="C136" s="12">
        <v>497.95</v>
      </c>
      <c r="D136" s="12">
        <v>37.950000000000003</v>
      </c>
      <c r="E136" s="17"/>
      <c r="I136" s="16"/>
    </row>
    <row r="137" spans="1:9" s="8" customFormat="1" x14ac:dyDescent="0.2">
      <c r="A137" s="10">
        <v>22172</v>
      </c>
      <c r="B137" s="11">
        <v>42783</v>
      </c>
      <c r="C137" s="12">
        <v>27.06</v>
      </c>
      <c r="D137" s="12">
        <v>2.06</v>
      </c>
      <c r="E137" s="15" t="s">
        <v>7</v>
      </c>
      <c r="I137" s="16"/>
    </row>
    <row r="138" spans="1:9" s="8" customFormat="1" x14ac:dyDescent="0.2">
      <c r="A138" s="10">
        <v>22173</v>
      </c>
      <c r="B138" s="11">
        <v>42783</v>
      </c>
      <c r="C138" s="12">
        <v>2</v>
      </c>
      <c r="D138" s="12">
        <v>0.15</v>
      </c>
      <c r="E138" s="17"/>
      <c r="F138" s="20">
        <f>+C124+C125+C126+C131+C133+C134+200+625.15</f>
        <v>1261.19</v>
      </c>
      <c r="G138" s="20">
        <f>629.78+526.69</f>
        <v>1156.47</v>
      </c>
      <c r="H138" s="161"/>
      <c r="I138" s="16"/>
    </row>
    <row r="139" spans="1:9" s="8" customFormat="1" x14ac:dyDescent="0.2">
      <c r="A139" s="10">
        <v>22174</v>
      </c>
      <c r="B139" s="11">
        <v>42784</v>
      </c>
      <c r="C139" s="12">
        <v>8.61</v>
      </c>
      <c r="D139" s="12">
        <v>0.66</v>
      </c>
      <c r="E139" s="17"/>
      <c r="F139" s="18"/>
      <c r="G139" s="19"/>
      <c r="H139" s="12"/>
      <c r="I139" s="16"/>
    </row>
    <row r="140" spans="1:9" s="8" customFormat="1" x14ac:dyDescent="0.2">
      <c r="A140" s="10">
        <v>22175</v>
      </c>
      <c r="B140" s="11">
        <v>42784</v>
      </c>
      <c r="C140" s="12">
        <v>170.49</v>
      </c>
      <c r="D140" s="12">
        <v>12.99</v>
      </c>
      <c r="E140" s="15" t="s">
        <v>21</v>
      </c>
      <c r="F140" s="21"/>
      <c r="G140" s="22"/>
      <c r="H140" s="10"/>
      <c r="I140" s="16"/>
    </row>
    <row r="141" spans="1:9" s="8" customFormat="1" x14ac:dyDescent="0.2">
      <c r="A141" s="10">
        <v>22176</v>
      </c>
      <c r="B141" s="11">
        <v>42784</v>
      </c>
      <c r="C141" s="12">
        <v>91</v>
      </c>
      <c r="D141" s="12">
        <v>6.94</v>
      </c>
      <c r="E141" s="17"/>
      <c r="F141" s="18"/>
      <c r="G141" s="19"/>
      <c r="H141" s="12"/>
      <c r="I141" s="16"/>
    </row>
    <row r="142" spans="1:9" s="8" customFormat="1" x14ac:dyDescent="0.2">
      <c r="A142" s="10">
        <v>22177</v>
      </c>
      <c r="B142" s="11">
        <v>42784</v>
      </c>
      <c r="C142" s="12">
        <v>11</v>
      </c>
      <c r="D142" s="12">
        <v>0.84</v>
      </c>
      <c r="E142" s="17"/>
      <c r="I142" s="16"/>
    </row>
    <row r="143" spans="1:9" s="8" customFormat="1" x14ac:dyDescent="0.2">
      <c r="A143" s="10">
        <v>22178</v>
      </c>
      <c r="B143" s="11">
        <v>42784</v>
      </c>
      <c r="C143" s="12">
        <v>112.03999999999999</v>
      </c>
      <c r="D143" s="12">
        <v>8.5399999999999991</v>
      </c>
      <c r="E143" s="15" t="s">
        <v>11</v>
      </c>
      <c r="I143" s="16"/>
    </row>
    <row r="144" spans="1:9" s="8" customFormat="1" x14ac:dyDescent="0.2">
      <c r="A144" s="10">
        <v>22179</v>
      </c>
      <c r="B144" s="11">
        <v>42784</v>
      </c>
      <c r="C144" s="12">
        <v>24.84</v>
      </c>
      <c r="D144" s="12">
        <v>1.89</v>
      </c>
      <c r="E144" s="15" t="s">
        <v>11</v>
      </c>
      <c r="F144" s="21"/>
      <c r="G144" s="22"/>
      <c r="H144" s="10"/>
      <c r="I144" s="16"/>
    </row>
    <row r="145" spans="1:9" s="8" customFormat="1" x14ac:dyDescent="0.2">
      <c r="A145" s="10">
        <v>22180</v>
      </c>
      <c r="B145" s="11">
        <v>42784</v>
      </c>
      <c r="C145" s="12">
        <v>39.78</v>
      </c>
      <c r="D145" s="12">
        <v>3.03</v>
      </c>
      <c r="E145" s="13"/>
      <c r="F145" s="18"/>
      <c r="G145" s="19"/>
      <c r="H145" s="12"/>
      <c r="I145" s="16"/>
    </row>
    <row r="146" spans="1:9" s="8" customFormat="1" x14ac:dyDescent="0.2">
      <c r="A146" s="10">
        <v>22181</v>
      </c>
      <c r="B146" s="11">
        <v>42784</v>
      </c>
      <c r="C146" s="12">
        <v>48.71</v>
      </c>
      <c r="D146" s="12">
        <v>3.71</v>
      </c>
      <c r="E146" s="15" t="s">
        <v>935</v>
      </c>
      <c r="F146" s="21"/>
      <c r="G146" s="22"/>
      <c r="H146" s="10"/>
      <c r="I146" s="16"/>
    </row>
    <row r="147" spans="1:9" s="8" customFormat="1" x14ac:dyDescent="0.2">
      <c r="A147" s="10">
        <v>22182</v>
      </c>
      <c r="B147" s="11">
        <v>42784</v>
      </c>
      <c r="C147" s="12">
        <v>12</v>
      </c>
      <c r="D147" s="12">
        <v>0.92</v>
      </c>
      <c r="E147" s="15" t="s">
        <v>11</v>
      </c>
      <c r="I147" s="16"/>
    </row>
    <row r="148" spans="1:9" s="8" customFormat="1" x14ac:dyDescent="0.2">
      <c r="A148" s="10">
        <v>22183</v>
      </c>
      <c r="B148" s="11">
        <v>42784</v>
      </c>
      <c r="C148" s="12">
        <v>142.01</v>
      </c>
      <c r="D148" s="12">
        <v>7.01</v>
      </c>
      <c r="E148" s="15" t="s">
        <v>11</v>
      </c>
      <c r="F148" s="21"/>
      <c r="G148" s="22"/>
      <c r="H148" s="10"/>
      <c r="I148" s="16"/>
    </row>
    <row r="149" spans="1:9" s="8" customFormat="1" x14ac:dyDescent="0.2">
      <c r="A149" s="10">
        <v>22184</v>
      </c>
      <c r="B149" s="11">
        <v>42784</v>
      </c>
      <c r="C149" s="12">
        <v>270</v>
      </c>
      <c r="D149" s="12">
        <v>20.58</v>
      </c>
      <c r="E149" s="17"/>
      <c r="I149" s="16"/>
    </row>
    <row r="150" spans="1:9" s="8" customFormat="1" x14ac:dyDescent="0.2">
      <c r="A150" s="10">
        <v>22185</v>
      </c>
      <c r="B150" s="11">
        <v>42784</v>
      </c>
      <c r="C150" s="12">
        <v>32.589999999999996</v>
      </c>
      <c r="D150" s="12">
        <v>2.48</v>
      </c>
      <c r="E150" s="17"/>
      <c r="F150" s="20">
        <f>+C143+C144+C147+C148+100</f>
        <v>390.89</v>
      </c>
      <c r="G150" s="20">
        <v>388.2</v>
      </c>
      <c r="H150" s="161"/>
      <c r="I150" s="16"/>
    </row>
    <row r="151" spans="1:9" s="8" customFormat="1" x14ac:dyDescent="0.2">
      <c r="A151" s="10">
        <v>22186</v>
      </c>
      <c r="B151" s="11">
        <v>42786</v>
      </c>
      <c r="C151" s="12">
        <v>18.399999999999999</v>
      </c>
      <c r="D151" s="12">
        <v>1.4</v>
      </c>
      <c r="E151" s="17"/>
      <c r="I151" s="16"/>
    </row>
    <row r="152" spans="1:9" s="8" customFormat="1" x14ac:dyDescent="0.2">
      <c r="A152" s="10">
        <v>22187</v>
      </c>
      <c r="B152" s="11">
        <v>42786</v>
      </c>
      <c r="C152" s="12">
        <v>181.32</v>
      </c>
      <c r="D152" s="12">
        <v>13.82</v>
      </c>
      <c r="E152" s="15" t="s">
        <v>21</v>
      </c>
      <c r="F152" s="21"/>
      <c r="G152" s="22"/>
      <c r="H152" s="10"/>
      <c r="I152" s="16"/>
    </row>
    <row r="153" spans="1:9" s="8" customFormat="1" x14ac:dyDescent="0.2">
      <c r="A153" s="10">
        <v>22188</v>
      </c>
      <c r="B153" s="11">
        <v>42786</v>
      </c>
      <c r="C153" s="12">
        <v>21.65</v>
      </c>
      <c r="D153" s="12">
        <v>1.65</v>
      </c>
      <c r="E153" s="13"/>
      <c r="F153" s="18"/>
      <c r="G153" s="19"/>
      <c r="H153" s="12"/>
      <c r="I153" s="16"/>
    </row>
    <row r="154" spans="1:9" s="8" customFormat="1" x14ac:dyDescent="0.2">
      <c r="A154" s="10">
        <v>22189</v>
      </c>
      <c r="B154" s="11">
        <v>42786</v>
      </c>
      <c r="C154" s="12">
        <v>683.06</v>
      </c>
      <c r="D154" s="12">
        <v>52.06</v>
      </c>
      <c r="E154" s="15" t="s">
        <v>936</v>
      </c>
      <c r="I154" s="16"/>
    </row>
    <row r="155" spans="1:9" s="8" customFormat="1" x14ac:dyDescent="0.2">
      <c r="A155" s="10">
        <v>22190</v>
      </c>
      <c r="B155" s="11">
        <v>42786</v>
      </c>
      <c r="C155" s="12">
        <v>121.24</v>
      </c>
      <c r="D155" s="12">
        <v>9.24</v>
      </c>
      <c r="E155" s="17"/>
      <c r="I155" s="16"/>
    </row>
    <row r="156" spans="1:9" s="8" customFormat="1" x14ac:dyDescent="0.2">
      <c r="A156" s="10">
        <v>22191</v>
      </c>
      <c r="B156" s="11">
        <v>42786</v>
      </c>
      <c r="C156" s="12">
        <v>11.91</v>
      </c>
      <c r="D156" s="12">
        <v>0.91</v>
      </c>
      <c r="E156" s="15" t="s">
        <v>11</v>
      </c>
      <c r="F156" s="21"/>
      <c r="G156" s="22"/>
      <c r="H156" s="10"/>
      <c r="I156" s="16"/>
    </row>
    <row r="157" spans="1:9" s="8" customFormat="1" x14ac:dyDescent="0.2">
      <c r="A157" s="10">
        <v>22192</v>
      </c>
      <c r="B157" s="11">
        <v>42786</v>
      </c>
      <c r="C157" s="12">
        <v>43.52</v>
      </c>
      <c r="D157" s="12">
        <v>3.32</v>
      </c>
      <c r="E157" s="13"/>
      <c r="F157" s="18"/>
      <c r="G157" s="19"/>
      <c r="H157" s="12"/>
      <c r="I157" s="16"/>
    </row>
    <row r="158" spans="1:9" s="8" customFormat="1" x14ac:dyDescent="0.2">
      <c r="A158" s="10">
        <v>22193</v>
      </c>
      <c r="B158" s="11">
        <v>42786</v>
      </c>
      <c r="C158" s="12">
        <v>8</v>
      </c>
      <c r="D158" s="12"/>
      <c r="E158" s="15" t="s">
        <v>11</v>
      </c>
      <c r="I158" s="16"/>
    </row>
    <row r="159" spans="1:9" s="8" customFormat="1" x14ac:dyDescent="0.2">
      <c r="A159" s="10">
        <v>22194</v>
      </c>
      <c r="B159" s="11">
        <v>42786</v>
      </c>
      <c r="C159" s="12">
        <v>135.31</v>
      </c>
      <c r="D159" s="12">
        <v>10.31</v>
      </c>
      <c r="E159" s="17"/>
      <c r="I159" s="16"/>
    </row>
    <row r="160" spans="1:9" s="8" customFormat="1" x14ac:dyDescent="0.2">
      <c r="A160" s="10">
        <v>22195</v>
      </c>
      <c r="B160" s="11">
        <v>42786</v>
      </c>
      <c r="C160" s="12">
        <v>24.36</v>
      </c>
      <c r="D160" s="12">
        <v>1.86</v>
      </c>
      <c r="E160" s="15" t="s">
        <v>7</v>
      </c>
      <c r="I160" s="16"/>
    </row>
    <row r="161" spans="1:19" s="8" customFormat="1" x14ac:dyDescent="0.2">
      <c r="A161" s="10">
        <v>22196</v>
      </c>
      <c r="B161" s="11">
        <v>42786</v>
      </c>
      <c r="C161" s="12">
        <v>181.18</v>
      </c>
      <c r="D161" s="12"/>
      <c r="E161" s="15" t="s">
        <v>363</v>
      </c>
      <c r="F161" s="21"/>
      <c r="G161" s="22"/>
      <c r="H161" s="10"/>
      <c r="I161" s="16"/>
    </row>
    <row r="162" spans="1:19" s="8" customFormat="1" x14ac:dyDescent="0.2">
      <c r="A162" s="10">
        <v>22197</v>
      </c>
      <c r="B162" s="11">
        <v>42786</v>
      </c>
      <c r="C162" s="12">
        <v>69.28</v>
      </c>
      <c r="D162" s="12">
        <v>5.28</v>
      </c>
      <c r="E162" s="17"/>
      <c r="F162" s="18"/>
      <c r="G162" s="19"/>
      <c r="H162" s="12"/>
      <c r="I162" s="16"/>
    </row>
    <row r="163" spans="1:19" s="8" customFormat="1" x14ac:dyDescent="0.2">
      <c r="A163" s="10">
        <v>22198</v>
      </c>
      <c r="B163" s="11">
        <v>42786</v>
      </c>
      <c r="C163" s="12">
        <v>137.47999999999999</v>
      </c>
      <c r="D163" s="12">
        <v>10.48</v>
      </c>
      <c r="E163" s="17"/>
      <c r="I163" s="16"/>
    </row>
    <row r="164" spans="1:19" s="8" customFormat="1" x14ac:dyDescent="0.2">
      <c r="A164" s="10">
        <v>22199</v>
      </c>
      <c r="B164" s="11">
        <v>42786</v>
      </c>
      <c r="C164" s="12">
        <v>4.28</v>
      </c>
      <c r="D164" s="12">
        <v>0.33</v>
      </c>
      <c r="E164" s="15" t="s">
        <v>26</v>
      </c>
      <c r="F164" s="20">
        <f>+C137+558.57+63.92+C158+C160</f>
        <v>681.91</v>
      </c>
      <c r="G164" s="20">
        <v>666.54</v>
      </c>
      <c r="H164" s="161"/>
      <c r="I164" s="16"/>
    </row>
    <row r="165" spans="1:19" s="8" customFormat="1" x14ac:dyDescent="0.2">
      <c r="A165" s="10">
        <v>22200</v>
      </c>
      <c r="B165" s="11">
        <v>42787</v>
      </c>
      <c r="C165" s="12">
        <v>64.95</v>
      </c>
      <c r="D165" s="12">
        <v>4.95</v>
      </c>
      <c r="E165" s="15"/>
      <c r="F165" s="21"/>
      <c r="G165" s="22"/>
      <c r="H165" s="10"/>
      <c r="I165" s="16"/>
    </row>
    <row r="166" spans="1:19" s="8" customFormat="1" x14ac:dyDescent="0.2">
      <c r="A166" s="10">
        <v>22201</v>
      </c>
      <c r="B166" s="11">
        <v>42787</v>
      </c>
      <c r="C166" s="12">
        <v>21.599999999999998</v>
      </c>
      <c r="D166" s="12">
        <v>1.65</v>
      </c>
      <c r="E166" s="15" t="s">
        <v>11</v>
      </c>
      <c r="I166" s="16"/>
    </row>
    <row r="167" spans="1:19" s="8" customFormat="1" x14ac:dyDescent="0.2">
      <c r="A167" s="10">
        <v>22202</v>
      </c>
      <c r="B167" s="11">
        <v>42787</v>
      </c>
      <c r="C167" s="12">
        <v>40</v>
      </c>
      <c r="D167" s="12">
        <v>3.05</v>
      </c>
      <c r="E167" s="15" t="s">
        <v>11</v>
      </c>
      <c r="I167" s="16"/>
    </row>
    <row r="168" spans="1:19" s="8" customFormat="1" x14ac:dyDescent="0.2">
      <c r="A168" s="10">
        <v>22203</v>
      </c>
      <c r="B168" s="11">
        <v>42787</v>
      </c>
      <c r="C168" s="12">
        <v>5</v>
      </c>
      <c r="D168" s="12">
        <v>0.38</v>
      </c>
      <c r="E168" s="17"/>
      <c r="F168" s="18"/>
      <c r="G168" s="19"/>
      <c r="H168" s="12"/>
      <c r="I168" s="16"/>
    </row>
    <row r="169" spans="1:19" s="8" customFormat="1" x14ac:dyDescent="0.2">
      <c r="A169" s="10">
        <v>22204</v>
      </c>
      <c r="B169" s="11">
        <v>42787</v>
      </c>
      <c r="C169" s="12">
        <v>206.16</v>
      </c>
      <c r="D169" s="12">
        <v>15.71</v>
      </c>
      <c r="E169" s="15" t="s">
        <v>13</v>
      </c>
      <c r="I169" s="16"/>
    </row>
    <row r="170" spans="1:19" s="8" customFormat="1" x14ac:dyDescent="0.2">
      <c r="A170" s="10">
        <v>22205</v>
      </c>
      <c r="B170" s="11">
        <v>42787</v>
      </c>
      <c r="C170" s="12">
        <v>48.71</v>
      </c>
      <c r="D170" s="12">
        <v>3.71</v>
      </c>
      <c r="E170" s="15" t="s">
        <v>11</v>
      </c>
      <c r="I170" s="16"/>
    </row>
    <row r="171" spans="1:19" s="8" customFormat="1" x14ac:dyDescent="0.2">
      <c r="A171" s="10">
        <v>22206</v>
      </c>
      <c r="B171" s="11">
        <v>42787</v>
      </c>
      <c r="C171" s="12">
        <v>53.04</v>
      </c>
      <c r="D171" s="12">
        <v>4.04</v>
      </c>
      <c r="E171" s="15" t="s">
        <v>7</v>
      </c>
      <c r="F171" s="21"/>
      <c r="G171" s="22"/>
      <c r="H171" s="10"/>
      <c r="I171" s="16"/>
    </row>
    <row r="172" spans="1:19" s="8" customFormat="1" x14ac:dyDescent="0.2">
      <c r="A172" s="10">
        <v>22207</v>
      </c>
      <c r="B172" s="11">
        <v>42787</v>
      </c>
      <c r="C172" s="12">
        <v>696.05</v>
      </c>
      <c r="D172" s="12">
        <v>53.05</v>
      </c>
      <c r="E172" s="15" t="s">
        <v>937</v>
      </c>
      <c r="I172" s="16"/>
    </row>
    <row r="173" spans="1:19" s="8" customFormat="1" x14ac:dyDescent="0.2">
      <c r="A173" s="10">
        <v>22208</v>
      </c>
      <c r="B173" s="11">
        <v>42787</v>
      </c>
      <c r="C173" s="12">
        <v>248.98</v>
      </c>
      <c r="D173" s="12">
        <v>18.98</v>
      </c>
      <c r="E173" s="13" t="s">
        <v>938</v>
      </c>
      <c r="I173" s="16"/>
    </row>
    <row r="174" spans="1:19" x14ac:dyDescent="0.2">
      <c r="A174" s="10">
        <v>22209</v>
      </c>
      <c r="B174" s="11">
        <v>42787</v>
      </c>
      <c r="C174" s="12">
        <v>153.72</v>
      </c>
      <c r="D174" s="12">
        <v>11.72</v>
      </c>
      <c r="E174" s="12"/>
      <c r="F174" s="12"/>
      <c r="G174" s="12"/>
      <c r="H174" s="191"/>
      <c r="I174" s="211"/>
      <c r="J174" s="211"/>
      <c r="K174" s="211"/>
      <c r="L174" s="8"/>
      <c r="M174" s="8"/>
      <c r="N174" s="8"/>
      <c r="O174" s="8"/>
      <c r="P174" s="8"/>
      <c r="Q174" s="8"/>
      <c r="R174" s="8"/>
      <c r="S174" s="8"/>
    </row>
    <row r="175" spans="1:19" x14ac:dyDescent="0.2">
      <c r="A175" s="10">
        <v>22210</v>
      </c>
      <c r="B175" s="11">
        <v>42787</v>
      </c>
      <c r="C175" s="12">
        <v>10.83</v>
      </c>
      <c r="D175" s="12">
        <v>0.83</v>
      </c>
      <c r="E175" s="12"/>
      <c r="I175" s="211"/>
      <c r="J175" s="211"/>
      <c r="K175" s="211"/>
      <c r="L175" s="8"/>
      <c r="M175" s="8"/>
      <c r="N175" s="8"/>
      <c r="O175" s="8"/>
      <c r="P175" s="8"/>
      <c r="Q175" s="8"/>
      <c r="R175" s="8"/>
      <c r="S175" s="8"/>
    </row>
    <row r="176" spans="1:19" x14ac:dyDescent="0.2">
      <c r="A176" s="10">
        <v>22211</v>
      </c>
      <c r="B176" s="11">
        <v>42787</v>
      </c>
      <c r="C176" s="12">
        <v>254.39</v>
      </c>
      <c r="D176" s="12">
        <v>19.39</v>
      </c>
      <c r="E176" s="15" t="s">
        <v>939</v>
      </c>
      <c r="I176" s="229"/>
      <c r="J176" s="211"/>
      <c r="K176" s="211"/>
      <c r="L176" s="8"/>
      <c r="M176" s="8"/>
      <c r="N176" s="8"/>
      <c r="O176" s="8"/>
      <c r="P176" s="8"/>
      <c r="Q176" s="8"/>
      <c r="R176" s="8"/>
      <c r="S176" s="8"/>
    </row>
    <row r="177" spans="1:19" x14ac:dyDescent="0.2">
      <c r="A177" s="10">
        <v>22212</v>
      </c>
      <c r="B177" s="11">
        <v>42787</v>
      </c>
      <c r="C177" s="12">
        <v>197.88</v>
      </c>
      <c r="D177" s="12">
        <v>15.08</v>
      </c>
      <c r="E177" s="15" t="s">
        <v>7</v>
      </c>
      <c r="F177" s="134">
        <f>+C166+C167+C169+C170+C171+200+162.38+125</f>
        <v>856.89</v>
      </c>
      <c r="G177" s="123">
        <f>+F177*0.97831</f>
        <v>838.30405589999998</v>
      </c>
      <c r="H177" s="161"/>
      <c r="I177" s="229"/>
      <c r="J177" s="211"/>
      <c r="K177" s="211"/>
      <c r="L177" s="8"/>
      <c r="M177" s="8"/>
      <c r="N177" s="8"/>
      <c r="O177" s="8"/>
      <c r="P177" s="8"/>
      <c r="Q177" s="8"/>
      <c r="R177" s="8"/>
      <c r="S177" s="8"/>
    </row>
    <row r="178" spans="1:19" x14ac:dyDescent="0.2">
      <c r="A178" s="10">
        <v>22213</v>
      </c>
      <c r="B178" s="11">
        <v>42788</v>
      </c>
      <c r="C178" s="12">
        <v>136.94</v>
      </c>
      <c r="D178" s="12">
        <v>10.44</v>
      </c>
      <c r="E178" s="15" t="s">
        <v>11</v>
      </c>
      <c r="F178" s="21"/>
      <c r="G178" s="22"/>
      <c r="H178" s="10"/>
      <c r="I178" s="229"/>
      <c r="J178" s="211"/>
      <c r="K178" s="211"/>
      <c r="L178" s="8"/>
      <c r="M178" s="8"/>
      <c r="N178" s="8"/>
      <c r="O178" s="8"/>
      <c r="P178" s="8"/>
      <c r="Q178" s="8"/>
      <c r="R178" s="8"/>
      <c r="S178" s="8"/>
    </row>
    <row r="179" spans="1:19" x14ac:dyDescent="0.2">
      <c r="A179" s="10">
        <v>22214</v>
      </c>
      <c r="B179" s="11">
        <v>42788</v>
      </c>
      <c r="C179" s="12">
        <v>12.94</v>
      </c>
      <c r="D179" s="12">
        <v>0.99</v>
      </c>
      <c r="E179" s="17"/>
      <c r="I179" s="229"/>
      <c r="J179" s="211"/>
      <c r="K179" s="211"/>
      <c r="L179" s="8"/>
      <c r="M179" s="8"/>
      <c r="N179" s="8"/>
      <c r="O179" s="8"/>
      <c r="P179" s="8"/>
      <c r="Q179" s="8"/>
      <c r="R179" s="8"/>
      <c r="S179" s="8"/>
    </row>
    <row r="180" spans="1:19" x14ac:dyDescent="0.2">
      <c r="A180" s="10">
        <v>22215</v>
      </c>
      <c r="B180" s="11">
        <v>42788</v>
      </c>
      <c r="C180" s="12">
        <v>64.95</v>
      </c>
      <c r="D180" s="12">
        <v>4.95</v>
      </c>
      <c r="E180" s="15" t="s">
        <v>21</v>
      </c>
      <c r="I180" s="229"/>
      <c r="J180" s="211"/>
      <c r="K180" s="211"/>
      <c r="L180" s="8"/>
      <c r="M180" s="8"/>
      <c r="N180" s="8"/>
      <c r="O180" s="8"/>
      <c r="P180" s="8"/>
      <c r="Q180" s="8"/>
      <c r="R180" s="8"/>
      <c r="S180" s="8"/>
    </row>
    <row r="181" spans="1:19" x14ac:dyDescent="0.2">
      <c r="A181" s="10">
        <v>22216</v>
      </c>
      <c r="B181" s="11">
        <v>42788</v>
      </c>
      <c r="C181" s="12">
        <v>248</v>
      </c>
      <c r="D181" s="12">
        <v>18.899999999999999</v>
      </c>
      <c r="E181" s="17"/>
      <c r="F181" s="18"/>
      <c r="G181" s="19"/>
      <c r="H181" s="12"/>
      <c r="I181" s="229"/>
      <c r="J181" s="211"/>
      <c r="K181" s="211"/>
      <c r="L181" s="8"/>
      <c r="M181" s="8"/>
      <c r="N181" s="8"/>
      <c r="O181" s="8"/>
      <c r="P181" s="8"/>
      <c r="Q181" s="8"/>
      <c r="R181" s="8"/>
      <c r="S181" s="8"/>
    </row>
    <row r="182" spans="1:19" x14ac:dyDescent="0.2">
      <c r="A182" s="10">
        <v>22217</v>
      </c>
      <c r="B182" s="11">
        <v>42788</v>
      </c>
      <c r="C182" s="12">
        <v>41.14</v>
      </c>
      <c r="D182" s="12">
        <v>3.14</v>
      </c>
      <c r="E182" s="15" t="s">
        <v>7</v>
      </c>
      <c r="F182" s="134">
        <f>+C178+C182+197.88</f>
        <v>375.96</v>
      </c>
      <c r="G182" s="123">
        <f>+F182*0.97831</f>
        <v>367.80542759999997</v>
      </c>
      <c r="H182" s="161"/>
      <c r="I182" s="229"/>
      <c r="J182" s="211"/>
      <c r="K182" s="211"/>
      <c r="L182" s="8"/>
      <c r="M182" s="8"/>
      <c r="N182" s="8"/>
      <c r="O182" s="8"/>
      <c r="P182" s="8"/>
      <c r="Q182" s="8"/>
      <c r="R182" s="8"/>
      <c r="S182" s="8"/>
    </row>
    <row r="183" spans="1:19" x14ac:dyDescent="0.2">
      <c r="A183" s="10">
        <v>22218</v>
      </c>
      <c r="B183" s="11">
        <v>42789</v>
      </c>
      <c r="C183" s="12">
        <v>35.18</v>
      </c>
      <c r="D183" s="12">
        <v>2.68</v>
      </c>
      <c r="E183" s="17"/>
      <c r="F183" s="18"/>
      <c r="G183" s="19"/>
      <c r="H183" s="12"/>
      <c r="I183" s="229"/>
      <c r="J183" s="211"/>
      <c r="K183" s="211"/>
      <c r="L183" s="8"/>
      <c r="M183" s="8"/>
      <c r="N183" s="8"/>
      <c r="O183" s="8"/>
      <c r="P183" s="8"/>
      <c r="Q183" s="8"/>
      <c r="R183" s="8"/>
      <c r="S183" s="8"/>
    </row>
    <row r="184" spans="1:19" x14ac:dyDescent="0.2">
      <c r="A184" s="10">
        <v>22219</v>
      </c>
      <c r="B184" s="11">
        <v>42789</v>
      </c>
      <c r="C184" s="12">
        <v>201.29</v>
      </c>
      <c r="D184" s="12">
        <v>15.34</v>
      </c>
      <c r="E184" s="15" t="s">
        <v>7</v>
      </c>
      <c r="F184" s="21"/>
      <c r="G184" s="22"/>
      <c r="H184" s="10"/>
      <c r="I184" s="229"/>
      <c r="J184" s="211"/>
      <c r="K184" s="211"/>
      <c r="L184" s="8"/>
      <c r="M184" s="8"/>
      <c r="N184" s="8"/>
      <c r="O184" s="8"/>
      <c r="P184" s="8"/>
      <c r="Q184" s="8"/>
      <c r="R184" s="8"/>
      <c r="S184" s="8"/>
    </row>
    <row r="185" spans="1:19" x14ac:dyDescent="0.2">
      <c r="A185" s="10">
        <v>22220</v>
      </c>
      <c r="B185" s="11">
        <v>42789</v>
      </c>
      <c r="C185" s="12">
        <v>133.15</v>
      </c>
      <c r="D185" s="12">
        <v>10.15</v>
      </c>
      <c r="E185" s="15" t="s">
        <v>11</v>
      </c>
      <c r="I185" s="229"/>
      <c r="J185" s="211"/>
      <c r="K185" s="211"/>
      <c r="L185" s="8"/>
      <c r="M185" s="8"/>
      <c r="N185" s="8"/>
      <c r="O185" s="8"/>
      <c r="P185" s="8"/>
      <c r="Q185" s="8"/>
      <c r="R185" s="8"/>
      <c r="S185" s="8"/>
    </row>
    <row r="186" spans="1:19" x14ac:dyDescent="0.2">
      <c r="A186" s="10">
        <v>22221</v>
      </c>
      <c r="B186" s="11">
        <v>42789</v>
      </c>
      <c r="C186" s="12">
        <v>37.89</v>
      </c>
      <c r="D186" s="12">
        <v>2.89</v>
      </c>
      <c r="E186" s="17"/>
      <c r="F186" s="18"/>
      <c r="G186" s="19"/>
      <c r="H186" s="12"/>
      <c r="I186" s="229"/>
      <c r="J186" s="211"/>
      <c r="K186" s="211"/>
      <c r="L186" s="8"/>
      <c r="M186" s="8"/>
      <c r="N186" s="8"/>
      <c r="O186" s="8"/>
      <c r="P186" s="8"/>
      <c r="Q186" s="8"/>
      <c r="R186" s="8"/>
      <c r="S186" s="8"/>
    </row>
    <row r="187" spans="1:19" x14ac:dyDescent="0.2">
      <c r="A187" s="10">
        <v>22222</v>
      </c>
      <c r="B187" s="11">
        <v>42789</v>
      </c>
      <c r="C187" s="12">
        <v>21.599999999999998</v>
      </c>
      <c r="D187" s="12">
        <v>1.65</v>
      </c>
      <c r="E187" s="17"/>
      <c r="F187" s="18"/>
      <c r="G187" s="19"/>
      <c r="H187" s="12"/>
      <c r="I187" s="229"/>
      <c r="J187" s="211"/>
      <c r="K187" s="211"/>
      <c r="L187" s="8"/>
      <c r="M187" s="8"/>
      <c r="N187" s="8"/>
      <c r="O187" s="8"/>
      <c r="P187" s="8"/>
      <c r="Q187" s="8"/>
      <c r="R187" s="8"/>
      <c r="S187" s="8"/>
    </row>
    <row r="188" spans="1:19" x14ac:dyDescent="0.2">
      <c r="A188" s="10">
        <v>22223</v>
      </c>
      <c r="B188" s="11">
        <v>42789</v>
      </c>
      <c r="C188" s="12">
        <v>53.04</v>
      </c>
      <c r="D188" s="12">
        <v>4.04</v>
      </c>
      <c r="E188" s="23"/>
      <c r="F188" s="21"/>
      <c r="G188" s="22"/>
      <c r="H188" s="10"/>
      <c r="I188" s="229"/>
      <c r="J188" s="211"/>
      <c r="K188" s="211"/>
      <c r="L188" s="8"/>
      <c r="M188" s="8"/>
      <c r="N188" s="8"/>
      <c r="O188" s="8"/>
      <c r="P188" s="8"/>
      <c r="Q188" s="8"/>
      <c r="R188" s="8"/>
      <c r="S188" s="8"/>
    </row>
    <row r="189" spans="1:19" x14ac:dyDescent="0.2">
      <c r="A189" s="10">
        <v>22224</v>
      </c>
      <c r="B189" s="11">
        <v>42789</v>
      </c>
      <c r="C189" s="12">
        <v>132.07</v>
      </c>
      <c r="D189" s="12">
        <v>10.07</v>
      </c>
      <c r="E189" s="15" t="s">
        <v>11</v>
      </c>
      <c r="I189" s="229"/>
      <c r="J189" s="211"/>
      <c r="K189" s="211"/>
      <c r="L189" s="8"/>
      <c r="M189" s="8"/>
      <c r="N189" s="8"/>
      <c r="O189" s="8"/>
      <c r="P189" s="8"/>
      <c r="Q189" s="8"/>
      <c r="R189" s="8"/>
      <c r="S189" s="8"/>
    </row>
    <row r="190" spans="1:19" x14ac:dyDescent="0.2">
      <c r="A190" s="10">
        <v>22225</v>
      </c>
      <c r="B190" s="11">
        <v>42789</v>
      </c>
      <c r="C190" s="12">
        <v>21.65</v>
      </c>
      <c r="D190" s="12">
        <v>1.65</v>
      </c>
      <c r="E190" s="17"/>
      <c r="I190" s="229"/>
      <c r="J190" s="211"/>
      <c r="K190" s="211"/>
      <c r="L190" s="8"/>
      <c r="M190" s="8"/>
      <c r="N190" s="8"/>
      <c r="O190" s="8"/>
      <c r="P190" s="8"/>
      <c r="Q190" s="8"/>
      <c r="R190" s="8"/>
      <c r="S190" s="8"/>
    </row>
    <row r="191" spans="1:19" x14ac:dyDescent="0.2">
      <c r="A191" s="10">
        <v>22226</v>
      </c>
      <c r="B191" s="11">
        <v>42789</v>
      </c>
      <c r="C191" s="12">
        <v>20.57</v>
      </c>
      <c r="D191" s="12">
        <v>1.57</v>
      </c>
      <c r="E191" s="17"/>
      <c r="I191" s="229"/>
      <c r="J191" s="211"/>
      <c r="K191" s="211"/>
      <c r="L191" s="8"/>
      <c r="M191" s="8"/>
      <c r="N191" s="8"/>
      <c r="O191" s="8"/>
      <c r="P191" s="8"/>
      <c r="Q191" s="8"/>
      <c r="R191" s="8"/>
      <c r="S191" s="8"/>
    </row>
    <row r="192" spans="1:19" x14ac:dyDescent="0.2">
      <c r="A192" s="10">
        <v>22227</v>
      </c>
      <c r="B192" s="11">
        <v>42789</v>
      </c>
      <c r="C192" s="185">
        <v>197.02</v>
      </c>
      <c r="D192" s="12">
        <v>15.02</v>
      </c>
      <c r="E192" s="15" t="s">
        <v>21</v>
      </c>
      <c r="F192" s="21"/>
      <c r="G192" s="22"/>
      <c r="H192" s="10"/>
      <c r="I192" s="229"/>
      <c r="J192" s="211"/>
      <c r="K192" s="211"/>
      <c r="L192" s="8"/>
      <c r="M192" s="8"/>
      <c r="N192" s="8"/>
      <c r="O192" s="8"/>
      <c r="P192" s="8"/>
      <c r="Q192" s="8"/>
      <c r="R192" s="8"/>
      <c r="S192" s="8"/>
    </row>
    <row r="193" spans="1:19" x14ac:dyDescent="0.2">
      <c r="A193" s="10">
        <v>22228</v>
      </c>
      <c r="B193" s="11">
        <v>42789</v>
      </c>
      <c r="C193" s="185">
        <v>105.53999999999999</v>
      </c>
      <c r="D193" s="12">
        <v>8.0399999999999991</v>
      </c>
      <c r="E193" s="15" t="s">
        <v>21</v>
      </c>
      <c r="I193" s="229"/>
      <c r="J193" s="211"/>
      <c r="K193" s="211"/>
      <c r="L193" s="8"/>
      <c r="M193" s="8"/>
      <c r="N193" s="8"/>
      <c r="O193" s="8"/>
      <c r="P193" s="8"/>
      <c r="Q193" s="8"/>
      <c r="R193" s="8"/>
      <c r="S193" s="8"/>
    </row>
    <row r="194" spans="1:19" x14ac:dyDescent="0.2">
      <c r="A194" s="10">
        <v>22229</v>
      </c>
      <c r="B194" s="11">
        <v>42789</v>
      </c>
      <c r="C194" s="185">
        <v>16</v>
      </c>
      <c r="D194" s="12"/>
      <c r="E194" s="13" t="s">
        <v>19</v>
      </c>
      <c r="F194" s="18"/>
      <c r="G194" s="19"/>
      <c r="H194" s="12"/>
      <c r="I194" s="229"/>
      <c r="J194" s="211"/>
      <c r="K194" s="211"/>
      <c r="L194" s="8"/>
      <c r="M194" s="8"/>
      <c r="N194" s="8"/>
      <c r="O194" s="8"/>
      <c r="P194" s="8"/>
      <c r="Q194" s="8"/>
      <c r="R194" s="8"/>
      <c r="S194" s="8"/>
    </row>
    <row r="195" spans="1:19" x14ac:dyDescent="0.2">
      <c r="A195" s="10">
        <v>22230</v>
      </c>
      <c r="B195" s="11">
        <v>42789</v>
      </c>
      <c r="C195" s="185">
        <v>198.1</v>
      </c>
      <c r="D195" s="12">
        <v>15.1</v>
      </c>
      <c r="E195" s="15" t="s">
        <v>11</v>
      </c>
      <c r="F195" s="134">
        <f>+C184+C185+170.49+C189+C195</f>
        <v>835.1</v>
      </c>
      <c r="G195" s="123">
        <f>+F195*0.97831</f>
        <v>816.98668100000009</v>
      </c>
      <c r="H195" s="161"/>
      <c r="I195" s="229"/>
      <c r="J195" s="211"/>
      <c r="K195" s="211"/>
      <c r="L195" s="8"/>
      <c r="M195" s="8"/>
      <c r="N195" s="8"/>
      <c r="O195" s="8"/>
      <c r="P195" s="8"/>
      <c r="Q195" s="8"/>
      <c r="R195" s="8"/>
      <c r="S195" s="8"/>
    </row>
    <row r="196" spans="1:19" x14ac:dyDescent="0.2">
      <c r="A196" s="10">
        <v>22231</v>
      </c>
      <c r="B196" s="11">
        <v>42790</v>
      </c>
      <c r="C196" s="185">
        <v>197</v>
      </c>
      <c r="D196" s="12">
        <v>15.01</v>
      </c>
      <c r="E196" s="17"/>
      <c r="F196" s="18"/>
      <c r="G196" s="19"/>
      <c r="H196" s="12"/>
      <c r="I196" s="229"/>
      <c r="J196" s="211"/>
      <c r="K196" s="211"/>
      <c r="L196" s="8"/>
      <c r="M196" s="8"/>
      <c r="N196" s="8"/>
      <c r="O196" s="8"/>
      <c r="P196" s="8"/>
      <c r="Q196" s="8"/>
      <c r="R196" s="8"/>
      <c r="S196" s="8"/>
    </row>
    <row r="197" spans="1:19" x14ac:dyDescent="0.2">
      <c r="A197" s="10">
        <v>22232</v>
      </c>
      <c r="B197" s="11">
        <v>42790</v>
      </c>
      <c r="C197" s="185">
        <v>63.87</v>
      </c>
      <c r="D197" s="12">
        <v>4.87</v>
      </c>
      <c r="E197" s="17"/>
      <c r="F197" s="18"/>
      <c r="G197" s="19"/>
      <c r="H197" s="12"/>
      <c r="I197" s="229"/>
      <c r="J197" s="211"/>
      <c r="K197" s="211"/>
      <c r="L197" s="8"/>
      <c r="M197" s="8"/>
      <c r="N197" s="8"/>
      <c r="O197" s="8"/>
      <c r="P197" s="8"/>
      <c r="Q197" s="8"/>
      <c r="R197" s="8"/>
      <c r="S197" s="8"/>
    </row>
    <row r="198" spans="1:19" x14ac:dyDescent="0.2">
      <c r="A198" s="10">
        <v>22233</v>
      </c>
      <c r="B198" s="11">
        <v>42790</v>
      </c>
      <c r="C198" s="185">
        <v>43.3</v>
      </c>
      <c r="D198" s="12">
        <v>3.3</v>
      </c>
      <c r="E198" s="15" t="s">
        <v>7</v>
      </c>
      <c r="F198" s="21"/>
      <c r="G198" s="22"/>
      <c r="H198" s="10"/>
      <c r="I198" s="229"/>
      <c r="J198" s="211"/>
      <c r="K198" s="211"/>
      <c r="L198" s="8"/>
      <c r="M198" s="8"/>
      <c r="N198" s="8"/>
      <c r="O198" s="8"/>
      <c r="P198" s="8"/>
      <c r="Q198" s="8"/>
      <c r="R198" s="8"/>
      <c r="S198" s="8"/>
    </row>
    <row r="199" spans="1:19" x14ac:dyDescent="0.2">
      <c r="A199" s="10">
        <v>22234</v>
      </c>
      <c r="B199" s="11">
        <v>42790</v>
      </c>
      <c r="C199" s="185">
        <v>423.8</v>
      </c>
      <c r="D199" s="12">
        <v>32.299999999999997</v>
      </c>
      <c r="E199" s="15" t="s">
        <v>21</v>
      </c>
      <c r="F199" s="21"/>
      <c r="G199" s="22"/>
      <c r="H199" s="10"/>
      <c r="I199" s="229"/>
      <c r="J199" s="211"/>
      <c r="K199" s="211"/>
      <c r="L199" s="8"/>
      <c r="M199" s="8"/>
      <c r="N199" s="8"/>
      <c r="O199" s="8"/>
      <c r="P199" s="8"/>
      <c r="Q199" s="8"/>
      <c r="R199" s="8"/>
      <c r="S199" s="8"/>
    </row>
    <row r="200" spans="1:19" x14ac:dyDescent="0.2">
      <c r="A200" s="10">
        <v>22235</v>
      </c>
      <c r="B200" s="11">
        <v>42790</v>
      </c>
      <c r="C200" s="185">
        <v>15</v>
      </c>
      <c r="D200" s="12"/>
      <c r="E200" s="15" t="s">
        <v>11</v>
      </c>
      <c r="F200" s="21"/>
      <c r="G200" s="22"/>
      <c r="H200" s="10"/>
      <c r="I200" s="229"/>
      <c r="J200" s="211"/>
      <c r="K200" s="211"/>
      <c r="L200" s="8"/>
      <c r="M200" s="8"/>
      <c r="N200" s="8"/>
      <c r="O200" s="8"/>
      <c r="P200" s="8"/>
      <c r="Q200" s="8"/>
      <c r="R200" s="8"/>
      <c r="S200" s="8"/>
    </row>
    <row r="201" spans="1:19" x14ac:dyDescent="0.2">
      <c r="A201" s="10">
        <v>22236</v>
      </c>
      <c r="B201" s="11">
        <v>42790</v>
      </c>
      <c r="C201" s="185">
        <v>92</v>
      </c>
      <c r="D201" s="12">
        <v>7.01</v>
      </c>
      <c r="E201" s="15" t="s">
        <v>11</v>
      </c>
      <c r="I201" s="229"/>
      <c r="J201" s="211"/>
      <c r="K201" s="211"/>
      <c r="L201" s="8"/>
      <c r="M201" s="8"/>
      <c r="N201" s="8"/>
      <c r="O201" s="8"/>
      <c r="P201" s="8"/>
      <c r="Q201" s="8"/>
      <c r="R201" s="8"/>
      <c r="S201" s="8"/>
    </row>
    <row r="202" spans="1:19" x14ac:dyDescent="0.2">
      <c r="A202" s="10">
        <v>22237</v>
      </c>
      <c r="B202" s="11">
        <v>42790</v>
      </c>
      <c r="C202" s="185">
        <v>0</v>
      </c>
      <c r="D202" s="12">
        <v>0</v>
      </c>
      <c r="E202" s="17"/>
      <c r="F202" s="18"/>
      <c r="G202" s="19"/>
      <c r="H202" s="12"/>
      <c r="I202" s="229"/>
      <c r="J202" s="211"/>
      <c r="K202" s="211"/>
      <c r="L202" s="8"/>
      <c r="M202" s="8"/>
      <c r="N202" s="8"/>
      <c r="O202" s="8"/>
      <c r="P202" s="8"/>
      <c r="Q202" s="8"/>
      <c r="R202" s="8"/>
      <c r="S202" s="8"/>
    </row>
    <row r="203" spans="1:19" x14ac:dyDescent="0.2">
      <c r="A203" s="10">
        <v>22238</v>
      </c>
      <c r="B203" s="11">
        <v>42790</v>
      </c>
      <c r="C203" s="185">
        <v>676.56</v>
      </c>
      <c r="D203" s="12">
        <v>51.56</v>
      </c>
      <c r="E203" s="15" t="s">
        <v>11</v>
      </c>
      <c r="I203" s="229"/>
      <c r="J203" s="211"/>
      <c r="K203" s="211"/>
      <c r="L203" s="8"/>
      <c r="M203" s="8"/>
      <c r="N203" s="8"/>
      <c r="O203" s="8"/>
      <c r="P203" s="8"/>
      <c r="Q203" s="8"/>
      <c r="R203" s="8"/>
      <c r="S203" s="8"/>
    </row>
    <row r="204" spans="1:19" x14ac:dyDescent="0.2">
      <c r="A204" s="10">
        <v>22239</v>
      </c>
      <c r="B204" s="11">
        <v>42790</v>
      </c>
      <c r="C204" s="185">
        <v>269.8</v>
      </c>
      <c r="D204" s="12"/>
      <c r="E204" s="15" t="s">
        <v>441</v>
      </c>
      <c r="I204" s="229"/>
      <c r="J204" s="211"/>
      <c r="K204" s="211"/>
      <c r="L204" s="8"/>
      <c r="M204" s="8"/>
      <c r="N204" s="8"/>
      <c r="O204" s="8"/>
      <c r="P204" s="8"/>
      <c r="Q204" s="8"/>
      <c r="R204" s="8"/>
      <c r="S204" s="8"/>
    </row>
    <row r="205" spans="1:19" x14ac:dyDescent="0.2">
      <c r="A205" s="10">
        <v>22240</v>
      </c>
      <c r="B205" s="11">
        <v>42790</v>
      </c>
      <c r="C205" s="185">
        <v>231.11</v>
      </c>
      <c r="D205" s="12">
        <v>17.61</v>
      </c>
      <c r="E205" s="15" t="s">
        <v>21</v>
      </c>
      <c r="F205" s="134">
        <f>+C200+C201+105.54+C198+18.49+C203</f>
        <v>950.89</v>
      </c>
      <c r="G205" s="123">
        <f>+F205*0.97831</f>
        <v>930.26519589999998</v>
      </c>
      <c r="H205" s="161"/>
      <c r="I205" s="229"/>
      <c r="J205" s="211"/>
      <c r="K205" s="211"/>
      <c r="L205" s="8"/>
      <c r="M205" s="8"/>
      <c r="N205" s="8"/>
      <c r="O205" s="8"/>
      <c r="P205" s="8"/>
      <c r="Q205" s="8"/>
      <c r="R205" s="8"/>
      <c r="S205" s="8"/>
    </row>
    <row r="206" spans="1:19" x14ac:dyDescent="0.2">
      <c r="A206" s="10">
        <v>22241</v>
      </c>
      <c r="B206" s="11">
        <v>42791</v>
      </c>
      <c r="C206" s="12">
        <v>30.31</v>
      </c>
      <c r="D206" s="12">
        <v>2.31</v>
      </c>
      <c r="E206" s="17"/>
      <c r="F206" s="18"/>
      <c r="G206" s="19"/>
      <c r="H206" s="12"/>
      <c r="I206" s="229"/>
      <c r="J206" s="211"/>
      <c r="K206" s="211"/>
      <c r="L206" s="8"/>
      <c r="M206" s="8"/>
      <c r="N206" s="8"/>
      <c r="O206" s="8"/>
      <c r="P206" s="8"/>
      <c r="Q206" s="8"/>
      <c r="R206" s="8"/>
      <c r="S206" s="8"/>
    </row>
    <row r="207" spans="1:19" x14ac:dyDescent="0.2">
      <c r="A207" s="10">
        <v>22242</v>
      </c>
      <c r="B207" s="11">
        <v>42791</v>
      </c>
      <c r="C207" s="12">
        <v>200.8</v>
      </c>
      <c r="D207" s="12">
        <v>15.3</v>
      </c>
      <c r="E207" s="17"/>
      <c r="F207" s="18"/>
      <c r="G207" s="19"/>
      <c r="H207" s="12"/>
      <c r="I207" s="229"/>
      <c r="J207" s="211"/>
      <c r="K207" s="211"/>
      <c r="L207" s="8"/>
      <c r="M207" s="8"/>
      <c r="N207" s="8"/>
      <c r="O207" s="8"/>
      <c r="P207" s="8"/>
      <c r="Q207" s="8"/>
      <c r="R207" s="8"/>
      <c r="S207" s="8"/>
    </row>
    <row r="208" spans="1:19" x14ac:dyDescent="0.2">
      <c r="A208" s="10">
        <v>22243</v>
      </c>
      <c r="B208" s="11">
        <v>42791</v>
      </c>
      <c r="C208" s="12">
        <v>9.74</v>
      </c>
      <c r="D208" s="12">
        <v>0.74</v>
      </c>
      <c r="E208" s="17"/>
      <c r="I208" s="229"/>
      <c r="J208" s="211"/>
      <c r="K208" s="211"/>
      <c r="L208" s="8"/>
      <c r="M208" s="8"/>
      <c r="N208" s="8"/>
      <c r="O208" s="8"/>
      <c r="P208" s="8"/>
      <c r="Q208" s="8"/>
      <c r="R208" s="8"/>
      <c r="S208" s="8"/>
    </row>
    <row r="209" spans="1:19" x14ac:dyDescent="0.2">
      <c r="A209" s="10">
        <v>22244</v>
      </c>
      <c r="B209" s="11">
        <v>42791</v>
      </c>
      <c r="C209" s="12">
        <v>12.99</v>
      </c>
      <c r="D209" s="12">
        <v>0.99</v>
      </c>
      <c r="E209" s="15" t="s">
        <v>11</v>
      </c>
      <c r="F209" s="21"/>
      <c r="G209" s="22"/>
      <c r="H209" s="10"/>
      <c r="I209" s="229"/>
      <c r="J209" s="211"/>
      <c r="K209" s="211"/>
      <c r="L209" s="8"/>
      <c r="M209" s="8"/>
      <c r="N209" s="8"/>
      <c r="O209" s="8"/>
      <c r="P209" s="8"/>
      <c r="Q209" s="8"/>
      <c r="R209" s="8"/>
      <c r="S209" s="8"/>
    </row>
    <row r="210" spans="1:19" x14ac:dyDescent="0.2">
      <c r="A210" s="10">
        <v>22245</v>
      </c>
      <c r="B210" s="11">
        <v>42791</v>
      </c>
      <c r="C210" s="12">
        <v>205.68</v>
      </c>
      <c r="D210" s="12">
        <v>15.68</v>
      </c>
      <c r="E210" s="15" t="s">
        <v>533</v>
      </c>
      <c r="I210" s="229"/>
      <c r="J210" s="211"/>
      <c r="K210" s="211"/>
      <c r="L210" s="8"/>
      <c r="M210" s="8"/>
      <c r="N210" s="8"/>
      <c r="O210" s="8"/>
      <c r="P210" s="8"/>
      <c r="Q210" s="8"/>
      <c r="R210" s="8"/>
      <c r="S210" s="8"/>
    </row>
    <row r="211" spans="1:19" x14ac:dyDescent="0.2">
      <c r="A211" s="10">
        <v>22246</v>
      </c>
      <c r="B211" s="11">
        <v>42791</v>
      </c>
      <c r="C211" s="12">
        <v>17.27</v>
      </c>
      <c r="D211" s="12">
        <v>1.32</v>
      </c>
      <c r="E211" s="17"/>
      <c r="I211" s="229"/>
      <c r="J211" s="211"/>
      <c r="K211" s="211"/>
      <c r="L211" s="8"/>
      <c r="M211" s="8"/>
      <c r="N211" s="8"/>
      <c r="O211" s="8"/>
      <c r="P211" s="8"/>
      <c r="Q211" s="8"/>
      <c r="R211" s="8"/>
      <c r="S211" s="8"/>
    </row>
    <row r="212" spans="1:19" x14ac:dyDescent="0.2">
      <c r="A212" s="10">
        <v>22247</v>
      </c>
      <c r="B212" s="11">
        <v>42791</v>
      </c>
      <c r="C212" s="12">
        <v>20</v>
      </c>
      <c r="D212" s="12">
        <v>1.52</v>
      </c>
      <c r="E212" s="17"/>
      <c r="F212" s="18"/>
      <c r="G212" s="19"/>
      <c r="H212" s="12"/>
      <c r="I212" s="229"/>
      <c r="J212" s="211"/>
      <c r="K212" s="211"/>
      <c r="L212" s="8"/>
      <c r="M212" s="8"/>
      <c r="N212" s="8"/>
      <c r="O212" s="8"/>
      <c r="P212" s="8"/>
      <c r="Q212" s="8"/>
      <c r="R212" s="8"/>
      <c r="S212" s="8"/>
    </row>
    <row r="213" spans="1:19" x14ac:dyDescent="0.2">
      <c r="A213" s="10">
        <v>22248</v>
      </c>
      <c r="B213" s="11">
        <v>42791</v>
      </c>
      <c r="C213" s="12">
        <v>0</v>
      </c>
      <c r="D213" s="12">
        <v>0</v>
      </c>
      <c r="E213" s="17"/>
      <c r="F213" s="134">
        <v>245</v>
      </c>
      <c r="G213" s="123">
        <f>+F213*0.97831</f>
        <v>239.68594999999999</v>
      </c>
      <c r="H213" s="161" t="s">
        <v>940</v>
      </c>
      <c r="I213" s="229"/>
      <c r="J213" s="211"/>
      <c r="K213" s="211"/>
      <c r="L213" s="8"/>
      <c r="M213" s="8"/>
      <c r="N213" s="8"/>
      <c r="O213" s="8"/>
      <c r="P213" s="8"/>
      <c r="Q213" s="8"/>
      <c r="R213" s="8"/>
      <c r="S213" s="8"/>
    </row>
    <row r="214" spans="1:19" x14ac:dyDescent="0.2">
      <c r="A214" s="10">
        <v>22249</v>
      </c>
      <c r="B214" s="11">
        <v>42793</v>
      </c>
      <c r="C214" s="12">
        <v>7.58</v>
      </c>
      <c r="D214" s="12">
        <v>0.57999999999999996</v>
      </c>
      <c r="E214" s="15" t="s">
        <v>11</v>
      </c>
      <c r="I214" s="229"/>
      <c r="J214" s="211"/>
      <c r="K214" s="211"/>
      <c r="L214" s="8"/>
      <c r="M214" s="8"/>
      <c r="N214" s="8"/>
      <c r="O214" s="8"/>
      <c r="P214" s="8"/>
      <c r="Q214" s="8"/>
      <c r="R214" s="8"/>
      <c r="S214" s="8"/>
    </row>
    <row r="215" spans="1:19" x14ac:dyDescent="0.2">
      <c r="A215" s="10">
        <v>22250</v>
      </c>
      <c r="B215" s="11">
        <v>42793</v>
      </c>
      <c r="C215" s="12">
        <v>58.46</v>
      </c>
      <c r="D215" s="12">
        <v>4.46</v>
      </c>
      <c r="E215" s="15" t="s">
        <v>11</v>
      </c>
      <c r="F215" s="21"/>
      <c r="G215" s="22"/>
      <c r="H215" s="10"/>
      <c r="I215" s="229"/>
      <c r="J215" s="211"/>
      <c r="K215" s="211"/>
      <c r="L215" s="8"/>
      <c r="M215" s="8"/>
      <c r="N215" s="8"/>
      <c r="O215" s="8"/>
      <c r="P215" s="8"/>
      <c r="Q215" s="8"/>
      <c r="R215" s="8"/>
      <c r="S215" s="8"/>
    </row>
    <row r="216" spans="1:19" x14ac:dyDescent="0.2">
      <c r="A216" s="10">
        <v>22251</v>
      </c>
      <c r="B216" s="11">
        <v>42793</v>
      </c>
      <c r="C216" s="185">
        <v>70.36</v>
      </c>
      <c r="D216" s="12">
        <v>5.36</v>
      </c>
      <c r="E216" s="13"/>
      <c r="F216" s="18"/>
      <c r="G216" s="19"/>
      <c r="H216" s="12"/>
      <c r="I216" s="229"/>
      <c r="J216" s="211"/>
      <c r="K216" s="211"/>
      <c r="L216" s="8"/>
      <c r="M216" s="8"/>
      <c r="N216" s="8"/>
      <c r="O216" s="8"/>
      <c r="P216" s="8"/>
      <c r="Q216" s="8"/>
      <c r="R216" s="8"/>
      <c r="S216" s="8"/>
    </row>
    <row r="217" spans="1:19" x14ac:dyDescent="0.2">
      <c r="A217" s="10">
        <v>22252</v>
      </c>
      <c r="B217" s="11">
        <v>42793</v>
      </c>
      <c r="C217" s="185">
        <v>29.4</v>
      </c>
      <c r="D217" s="12"/>
      <c r="E217" s="15" t="s">
        <v>7</v>
      </c>
      <c r="F217" s="21"/>
      <c r="G217" s="22"/>
      <c r="H217" s="10"/>
      <c r="I217" s="229"/>
      <c r="J217" s="211"/>
      <c r="K217" s="211"/>
      <c r="L217" s="8"/>
      <c r="M217" s="8"/>
      <c r="N217" s="8"/>
      <c r="O217" s="8"/>
      <c r="P217" s="8"/>
      <c r="Q217" s="8"/>
      <c r="R217" s="8"/>
      <c r="S217" s="8"/>
    </row>
    <row r="218" spans="1:19" x14ac:dyDescent="0.2">
      <c r="A218" s="10">
        <v>22253</v>
      </c>
      <c r="B218" s="11">
        <v>42793</v>
      </c>
      <c r="C218" s="185">
        <v>539.63</v>
      </c>
      <c r="D218" s="12">
        <v>41.13</v>
      </c>
      <c r="E218" s="15" t="s">
        <v>11</v>
      </c>
      <c r="F218" s="21"/>
      <c r="G218" s="22"/>
      <c r="H218" s="10"/>
      <c r="I218" s="229"/>
      <c r="J218" s="211"/>
      <c r="K218" s="211"/>
      <c r="L218" s="8"/>
      <c r="M218" s="8"/>
      <c r="N218" s="8"/>
      <c r="O218" s="8"/>
      <c r="P218" s="8"/>
      <c r="Q218" s="8"/>
      <c r="R218" s="8"/>
      <c r="S218" s="8"/>
    </row>
    <row r="219" spans="1:19" x14ac:dyDescent="0.2">
      <c r="A219" s="10">
        <v>22254</v>
      </c>
      <c r="B219" s="11">
        <v>42793</v>
      </c>
      <c r="C219" s="185">
        <v>41.75</v>
      </c>
      <c r="D219" s="12">
        <v>3.18</v>
      </c>
      <c r="E219" s="13"/>
      <c r="F219" s="18"/>
      <c r="G219" s="19"/>
      <c r="H219" s="12"/>
      <c r="I219" s="229"/>
      <c r="J219" s="211"/>
      <c r="K219" s="211"/>
      <c r="L219" s="8"/>
      <c r="M219" s="8"/>
      <c r="N219" s="8"/>
      <c r="O219" s="8"/>
      <c r="P219" s="8"/>
      <c r="Q219" s="8"/>
      <c r="R219" s="8"/>
      <c r="S219" s="8"/>
    </row>
    <row r="220" spans="1:19" x14ac:dyDescent="0.2">
      <c r="A220" s="10">
        <v>22255</v>
      </c>
      <c r="B220" s="11">
        <v>42793</v>
      </c>
      <c r="C220" s="185">
        <v>91.15</v>
      </c>
      <c r="D220" s="12">
        <v>6.95</v>
      </c>
      <c r="E220" s="15" t="s">
        <v>11</v>
      </c>
      <c r="F220" s="21"/>
      <c r="G220" s="22"/>
      <c r="H220" s="10"/>
      <c r="I220" s="229"/>
      <c r="J220" s="211"/>
      <c r="K220" s="211"/>
      <c r="L220" s="8"/>
      <c r="M220" s="8"/>
      <c r="N220" s="8"/>
      <c r="O220" s="8"/>
      <c r="P220" s="8"/>
      <c r="Q220" s="8"/>
      <c r="R220" s="8"/>
      <c r="S220" s="8"/>
    </row>
    <row r="221" spans="1:19" x14ac:dyDescent="0.2">
      <c r="A221" s="10">
        <v>22256</v>
      </c>
      <c r="B221" s="11">
        <v>42793</v>
      </c>
      <c r="C221" s="185">
        <v>335</v>
      </c>
      <c r="D221" s="12">
        <v>25.53</v>
      </c>
      <c r="E221" s="15"/>
      <c r="F221" s="21"/>
      <c r="G221" s="22"/>
      <c r="H221" s="10"/>
      <c r="I221" s="229"/>
      <c r="J221" s="211"/>
      <c r="K221" s="211"/>
      <c r="L221" s="8"/>
      <c r="M221" s="8"/>
      <c r="N221" s="8"/>
      <c r="O221" s="8"/>
      <c r="P221" s="8"/>
      <c r="Q221" s="8"/>
      <c r="R221" s="8"/>
      <c r="S221" s="8"/>
    </row>
    <row r="222" spans="1:19" x14ac:dyDescent="0.2">
      <c r="A222" s="10">
        <v>22257</v>
      </c>
      <c r="B222" s="11">
        <v>42793</v>
      </c>
      <c r="C222" s="185">
        <v>59.480000000000004</v>
      </c>
      <c r="D222" s="12">
        <v>4.53</v>
      </c>
      <c r="E222" s="15" t="s">
        <v>11</v>
      </c>
      <c r="F222" s="21"/>
      <c r="G222" s="22"/>
      <c r="H222" s="10"/>
      <c r="I222" s="229"/>
      <c r="J222" s="211"/>
      <c r="K222" s="211"/>
      <c r="L222" s="8"/>
      <c r="M222" s="8"/>
      <c r="N222" s="8"/>
      <c r="O222" s="8"/>
      <c r="P222" s="8"/>
      <c r="Q222" s="8"/>
      <c r="R222" s="8"/>
      <c r="S222" s="8"/>
    </row>
    <row r="223" spans="1:19" x14ac:dyDescent="0.2">
      <c r="A223" s="10">
        <v>22258</v>
      </c>
      <c r="B223" s="11">
        <v>42793</v>
      </c>
      <c r="C223" s="185">
        <v>45.47</v>
      </c>
      <c r="D223" s="12">
        <v>3.47</v>
      </c>
      <c r="E223" s="13"/>
      <c r="F223" s="18"/>
      <c r="G223" s="19"/>
      <c r="H223" s="12"/>
      <c r="I223" s="229"/>
      <c r="J223" s="211"/>
      <c r="K223" s="211"/>
      <c r="L223" s="8"/>
      <c r="M223" s="8"/>
      <c r="N223" s="8"/>
      <c r="O223" s="8"/>
      <c r="P223" s="8"/>
      <c r="Q223" s="8"/>
      <c r="R223" s="8"/>
      <c r="S223" s="8"/>
    </row>
    <row r="224" spans="1:19" x14ac:dyDescent="0.2">
      <c r="A224" s="10">
        <v>22259</v>
      </c>
      <c r="B224" s="11">
        <v>42793</v>
      </c>
      <c r="C224" s="185">
        <v>45.47</v>
      </c>
      <c r="D224" s="12">
        <v>3.47</v>
      </c>
      <c r="E224" s="15" t="s">
        <v>11</v>
      </c>
      <c r="F224" s="21"/>
      <c r="G224" s="22"/>
      <c r="H224" s="10"/>
      <c r="I224" s="229"/>
      <c r="J224" s="211"/>
      <c r="K224" s="211"/>
      <c r="L224" s="8"/>
      <c r="M224" s="8"/>
      <c r="N224" s="8"/>
      <c r="O224" s="8"/>
      <c r="P224" s="8"/>
      <c r="Q224" s="8"/>
      <c r="R224" s="8"/>
      <c r="S224" s="8"/>
    </row>
    <row r="225" spans="1:19" x14ac:dyDescent="0.2">
      <c r="A225" s="10">
        <v>22260</v>
      </c>
      <c r="B225" s="11">
        <v>42793</v>
      </c>
      <c r="C225" s="185">
        <v>15.16</v>
      </c>
      <c r="D225" s="12">
        <v>1.1599999999999999</v>
      </c>
      <c r="E225" s="15" t="s">
        <v>7</v>
      </c>
      <c r="F225" s="21"/>
      <c r="G225" s="22"/>
      <c r="H225" s="10"/>
      <c r="I225" s="229"/>
      <c r="J225" s="211"/>
      <c r="K225" s="211"/>
      <c r="L225" s="8"/>
      <c r="M225" s="8"/>
      <c r="N225" s="8"/>
      <c r="O225" s="8"/>
      <c r="P225" s="8"/>
      <c r="Q225" s="8"/>
      <c r="R225" s="8"/>
      <c r="S225" s="8"/>
    </row>
    <row r="226" spans="1:19" x14ac:dyDescent="0.2">
      <c r="A226" s="10">
        <v>22261</v>
      </c>
      <c r="B226" s="11">
        <v>42793</v>
      </c>
      <c r="C226" s="185">
        <v>43.19</v>
      </c>
      <c r="D226" s="12">
        <v>3.29</v>
      </c>
      <c r="E226" s="15" t="s">
        <v>7</v>
      </c>
      <c r="I226" s="229"/>
      <c r="J226" s="211"/>
      <c r="K226" s="211"/>
      <c r="L226" s="8"/>
      <c r="M226" s="8"/>
      <c r="N226" s="8"/>
      <c r="O226" s="8"/>
      <c r="P226" s="8"/>
      <c r="Q226" s="8"/>
      <c r="R226" s="8"/>
      <c r="S226" s="8"/>
    </row>
    <row r="227" spans="1:19" x14ac:dyDescent="0.2">
      <c r="A227" s="10">
        <v>22262</v>
      </c>
      <c r="B227" s="11">
        <v>42793</v>
      </c>
      <c r="C227" s="185">
        <v>274</v>
      </c>
      <c r="D227" s="12">
        <v>20.88</v>
      </c>
      <c r="E227" s="15" t="s">
        <v>21</v>
      </c>
      <c r="I227" s="229"/>
      <c r="J227" s="211"/>
      <c r="K227" s="211"/>
      <c r="L227" s="8"/>
      <c r="M227" s="8"/>
      <c r="N227" s="8"/>
      <c r="O227" s="8"/>
      <c r="P227" s="8"/>
      <c r="Q227" s="8"/>
      <c r="R227" s="8"/>
      <c r="S227" s="8"/>
    </row>
    <row r="228" spans="1:19" x14ac:dyDescent="0.2">
      <c r="A228" s="10">
        <v>22263</v>
      </c>
      <c r="B228" s="11">
        <v>42793</v>
      </c>
      <c r="C228" s="12">
        <v>94.75</v>
      </c>
      <c r="D228" s="12"/>
      <c r="E228" s="15" t="s">
        <v>941</v>
      </c>
      <c r="I228" s="229"/>
      <c r="J228" s="211"/>
      <c r="K228" s="211"/>
      <c r="L228" s="8"/>
      <c r="M228" s="8"/>
      <c r="N228" s="8"/>
      <c r="O228" s="8"/>
      <c r="P228" s="8"/>
      <c r="Q228" s="8"/>
      <c r="R228" s="8"/>
      <c r="S228" s="8"/>
    </row>
    <row r="229" spans="1:19" x14ac:dyDescent="0.2">
      <c r="A229" s="10">
        <v>22264</v>
      </c>
      <c r="B229" s="11">
        <v>42793</v>
      </c>
      <c r="C229" s="12">
        <v>82</v>
      </c>
      <c r="D229" s="12">
        <v>6.25</v>
      </c>
      <c r="E229" s="17"/>
      <c r="F229" s="134">
        <f>+C214+C215+C218+C220+C222+C224+C225+C226+C217+0.36</f>
        <v>889.87999999999988</v>
      </c>
      <c r="G229" s="123">
        <f>+F229*0.97831</f>
        <v>870.57850279999991</v>
      </c>
      <c r="H229" s="161" t="s">
        <v>942</v>
      </c>
      <c r="I229" s="229"/>
      <c r="J229" s="211"/>
      <c r="K229" s="211"/>
      <c r="L229" s="8"/>
      <c r="M229" s="8"/>
      <c r="N229" s="8"/>
      <c r="O229" s="8"/>
      <c r="P229" s="8"/>
      <c r="Q229" s="8"/>
      <c r="R229" s="8"/>
      <c r="S229" s="8"/>
    </row>
    <row r="230" spans="1:19" x14ac:dyDescent="0.2">
      <c r="A230" s="10">
        <v>22265</v>
      </c>
      <c r="B230" s="11">
        <v>42794</v>
      </c>
      <c r="C230" s="12">
        <v>289.02999999999997</v>
      </c>
      <c r="D230" s="12">
        <v>22.03</v>
      </c>
      <c r="E230" s="15" t="s">
        <v>21</v>
      </c>
      <c r="F230" s="21"/>
      <c r="G230" s="22"/>
      <c r="H230" s="10"/>
      <c r="I230" s="229"/>
      <c r="J230" s="211"/>
      <c r="K230" s="211"/>
      <c r="L230" s="8"/>
      <c r="M230" s="8"/>
      <c r="N230" s="8"/>
      <c r="O230" s="8"/>
      <c r="P230" s="8"/>
      <c r="Q230" s="8"/>
      <c r="R230" s="8"/>
      <c r="S230" s="8"/>
    </row>
    <row r="231" spans="1:19" x14ac:dyDescent="0.2">
      <c r="A231" s="10">
        <v>22266</v>
      </c>
      <c r="B231" s="11">
        <v>42794</v>
      </c>
      <c r="C231" s="12">
        <v>96.34</v>
      </c>
      <c r="D231" s="12">
        <v>7.34</v>
      </c>
      <c r="E231" s="15" t="s">
        <v>11</v>
      </c>
      <c r="F231" s="21"/>
      <c r="G231" s="22"/>
      <c r="H231" s="10"/>
      <c r="I231" s="229"/>
      <c r="J231" s="211"/>
      <c r="K231" s="211"/>
      <c r="L231" s="8"/>
      <c r="M231" s="8"/>
      <c r="N231" s="8"/>
      <c r="O231" s="8"/>
      <c r="P231" s="8"/>
      <c r="Q231" s="8"/>
      <c r="R231" s="8"/>
      <c r="S231" s="8"/>
    </row>
    <row r="232" spans="1:19" x14ac:dyDescent="0.2">
      <c r="A232" s="10">
        <v>22267</v>
      </c>
      <c r="B232" s="11">
        <v>42794</v>
      </c>
      <c r="C232" s="12">
        <v>25</v>
      </c>
      <c r="D232" s="12"/>
      <c r="E232" s="13"/>
      <c r="F232" s="18"/>
      <c r="G232" s="19"/>
      <c r="H232" s="12"/>
      <c r="I232" s="229"/>
      <c r="J232" s="211"/>
      <c r="K232" s="211"/>
      <c r="L232" s="8"/>
      <c r="M232" s="8"/>
      <c r="N232" s="8"/>
      <c r="O232" s="8"/>
      <c r="P232" s="8"/>
      <c r="Q232" s="8"/>
      <c r="R232" s="8"/>
      <c r="S232" s="8"/>
    </row>
    <row r="233" spans="1:19" x14ac:dyDescent="0.2">
      <c r="A233" s="10">
        <v>22268</v>
      </c>
      <c r="B233" s="11">
        <v>42794</v>
      </c>
      <c r="C233" s="12">
        <v>45.47</v>
      </c>
      <c r="D233" s="12">
        <v>3.47</v>
      </c>
      <c r="E233" s="13"/>
      <c r="F233" s="18"/>
      <c r="G233" s="19"/>
      <c r="H233" s="12"/>
      <c r="I233" s="229"/>
      <c r="J233" s="211"/>
      <c r="K233" s="211"/>
      <c r="L233" s="8"/>
      <c r="M233" s="8"/>
      <c r="N233" s="8"/>
      <c r="O233" s="8"/>
      <c r="P233" s="8"/>
      <c r="Q233" s="8"/>
      <c r="R233" s="8"/>
      <c r="S233" s="8"/>
    </row>
    <row r="234" spans="1:19" x14ac:dyDescent="0.2">
      <c r="A234" s="10">
        <v>22269</v>
      </c>
      <c r="B234" s="11">
        <v>42794</v>
      </c>
      <c r="C234" s="12">
        <v>77.94</v>
      </c>
      <c r="D234" s="12">
        <v>5.94</v>
      </c>
      <c r="E234" s="15" t="s">
        <v>11</v>
      </c>
      <c r="F234" s="21"/>
      <c r="G234" s="22"/>
      <c r="H234" s="10"/>
      <c r="I234" s="229"/>
      <c r="J234" s="211"/>
      <c r="K234" s="211"/>
      <c r="L234" s="8"/>
      <c r="M234" s="8"/>
      <c r="N234" s="8"/>
      <c r="O234" s="8"/>
      <c r="P234" s="8"/>
      <c r="Q234" s="8"/>
      <c r="R234" s="8"/>
      <c r="S234" s="8"/>
    </row>
    <row r="235" spans="1:19" x14ac:dyDescent="0.2">
      <c r="A235" s="10">
        <v>22270</v>
      </c>
      <c r="B235" s="11">
        <v>42794</v>
      </c>
      <c r="C235" s="12">
        <v>21.65</v>
      </c>
      <c r="D235" s="12">
        <v>1.65</v>
      </c>
      <c r="E235" s="17"/>
      <c r="F235" s="18"/>
      <c r="G235" s="19"/>
      <c r="H235" s="12"/>
      <c r="I235" s="229"/>
      <c r="J235" s="211"/>
      <c r="K235" s="211"/>
      <c r="L235" s="8"/>
      <c r="M235" s="8"/>
      <c r="N235" s="8"/>
      <c r="O235" s="8"/>
      <c r="P235" s="8"/>
      <c r="Q235" s="8"/>
      <c r="R235" s="8"/>
      <c r="S235" s="8"/>
    </row>
    <row r="236" spans="1:19" x14ac:dyDescent="0.2">
      <c r="A236" s="10">
        <v>22271</v>
      </c>
      <c r="B236" s="11">
        <v>42794</v>
      </c>
      <c r="C236" s="12">
        <v>51.03</v>
      </c>
      <c r="D236" s="12">
        <v>3.89</v>
      </c>
      <c r="E236" s="17"/>
      <c r="F236" s="134">
        <f>+C231+C234</f>
        <v>174.28</v>
      </c>
      <c r="G236" s="123">
        <f>+F236*0.97831</f>
        <v>170.49986680000001</v>
      </c>
      <c r="H236" s="161" t="s">
        <v>942</v>
      </c>
      <c r="I236" s="229"/>
      <c r="J236" s="211"/>
      <c r="K236" s="211"/>
      <c r="L236" s="8"/>
      <c r="M236" s="8"/>
      <c r="N236" s="8"/>
      <c r="O236" s="8"/>
      <c r="P236" s="8"/>
      <c r="Q236" s="8"/>
      <c r="R236" s="8"/>
      <c r="S236" s="8"/>
    </row>
    <row r="237" spans="1:19" x14ac:dyDescent="0.2">
      <c r="A237" s="10"/>
      <c r="C237" s="12"/>
      <c r="D237" s="12"/>
      <c r="E237" s="12"/>
      <c r="F237" s="12"/>
      <c r="G237" s="12"/>
      <c r="H237" s="185"/>
      <c r="I237" s="190"/>
      <c r="J237" s="190"/>
      <c r="K237" s="190"/>
      <c r="L237" s="8"/>
      <c r="M237" s="8"/>
      <c r="N237" s="8"/>
      <c r="O237" s="8"/>
      <c r="P237" s="8"/>
      <c r="Q237" s="8"/>
      <c r="R237" s="8"/>
      <c r="S237" s="8"/>
    </row>
    <row r="238" spans="1:19" x14ac:dyDescent="0.2">
      <c r="E238" s="26"/>
      <c r="H238" s="183"/>
      <c r="I238" s="186"/>
      <c r="J238" s="78"/>
      <c r="K238" s="78"/>
    </row>
    <row r="239" spans="1:19" x14ac:dyDescent="0.2">
      <c r="E239" s="26"/>
      <c r="H239" s="185"/>
      <c r="I239" s="186"/>
      <c r="J239" s="78"/>
      <c r="K239" s="78"/>
    </row>
    <row r="240" spans="1:19" x14ac:dyDescent="0.2">
      <c r="E240" s="26"/>
      <c r="H240" s="185"/>
      <c r="I240" s="186"/>
      <c r="J240" s="78"/>
      <c r="K240" s="78"/>
    </row>
    <row r="241" spans="5:11" x14ac:dyDescent="0.2">
      <c r="E241" s="26"/>
      <c r="H241" s="183"/>
      <c r="I241" s="186"/>
      <c r="J241" s="78"/>
      <c r="K241" s="78"/>
    </row>
    <row r="242" spans="5:11" x14ac:dyDescent="0.2">
      <c r="E242" s="26"/>
      <c r="H242" s="183"/>
      <c r="I242" s="186"/>
      <c r="J242" s="78"/>
      <c r="K242" s="78"/>
    </row>
    <row r="243" spans="5:11" x14ac:dyDescent="0.2">
      <c r="E243" s="26"/>
      <c r="H243" s="185"/>
      <c r="I243" s="186"/>
      <c r="J243" s="78"/>
      <c r="K243" s="78"/>
    </row>
    <row r="244" spans="5:11" x14ac:dyDescent="0.2">
      <c r="E244" s="26"/>
      <c r="H244" s="185"/>
      <c r="I244" s="186"/>
      <c r="J244" s="78"/>
      <c r="K244" s="78"/>
    </row>
    <row r="245" spans="5:11" x14ac:dyDescent="0.2">
      <c r="E245" s="26"/>
      <c r="H245" s="183"/>
      <c r="I245" s="186"/>
      <c r="J245" s="78"/>
      <c r="K245" s="78"/>
    </row>
    <row r="246" spans="5:11" x14ac:dyDescent="0.2">
      <c r="E246" s="26"/>
      <c r="H246" s="185"/>
      <c r="I246" s="186"/>
      <c r="J246" s="78"/>
      <c r="K246" s="78"/>
    </row>
    <row r="247" spans="5:11" x14ac:dyDescent="0.2">
      <c r="E247" s="26"/>
      <c r="H247" s="185"/>
      <c r="I247" s="186"/>
      <c r="J247" s="78"/>
      <c r="K247" s="78"/>
    </row>
    <row r="248" spans="5:11" x14ac:dyDescent="0.2">
      <c r="E248" s="26"/>
      <c r="H248" s="185"/>
      <c r="I248" s="186"/>
      <c r="J248" s="78"/>
      <c r="K248" s="78"/>
    </row>
    <row r="249" spans="5:11" x14ac:dyDescent="0.2">
      <c r="E249" s="26"/>
      <c r="H249" s="185"/>
      <c r="I249" s="186"/>
      <c r="J249" s="78"/>
      <c r="K249" s="78"/>
    </row>
    <row r="250" spans="5:11" x14ac:dyDescent="0.2">
      <c r="E250" s="26"/>
      <c r="H250" s="185"/>
      <c r="I250" s="186"/>
      <c r="J250" s="78"/>
      <c r="K250" s="78"/>
    </row>
    <row r="251" spans="5:11" x14ac:dyDescent="0.2">
      <c r="E251" s="26"/>
      <c r="H251" s="185"/>
      <c r="I251" s="186"/>
      <c r="J251" s="78"/>
      <c r="K251" s="78"/>
    </row>
    <row r="252" spans="5:11" x14ac:dyDescent="0.2">
      <c r="E252" s="26"/>
      <c r="H252" s="199"/>
      <c r="I252" s="184"/>
      <c r="J252" s="184"/>
      <c r="K252" s="184"/>
    </row>
    <row r="253" spans="5:11" x14ac:dyDescent="0.2">
      <c r="E253" s="26"/>
      <c r="H253" s="199"/>
      <c r="I253" s="184"/>
      <c r="J253" s="184"/>
      <c r="K253" s="184"/>
    </row>
    <row r="254" spans="5:11" x14ac:dyDescent="0.2">
      <c r="E254" s="26"/>
      <c r="H254" s="199"/>
      <c r="I254" s="184"/>
      <c r="J254" s="184"/>
      <c r="K254" s="184"/>
    </row>
    <row r="255" spans="5:11" x14ac:dyDescent="0.2">
      <c r="E255" s="26"/>
      <c r="H255" s="85"/>
      <c r="I255" s="77"/>
      <c r="J255" s="77"/>
      <c r="K255" s="77"/>
    </row>
    <row r="256" spans="5:11" x14ac:dyDescent="0.2">
      <c r="E256" s="26"/>
    </row>
    <row r="257" spans="5:5" x14ac:dyDescent="0.2">
      <c r="E257" s="26"/>
    </row>
    <row r="258" spans="5:5" x14ac:dyDescent="0.2">
      <c r="E258" s="26"/>
    </row>
    <row r="259" spans="5:5" x14ac:dyDescent="0.2">
      <c r="E259" s="26"/>
    </row>
    <row r="260" spans="5:5" x14ac:dyDescent="0.2">
      <c r="E260" s="26"/>
    </row>
    <row r="261" spans="5:5" x14ac:dyDescent="0.2">
      <c r="E261" s="26"/>
    </row>
    <row r="262" spans="5:5" x14ac:dyDescent="0.2">
      <c r="E262" s="26"/>
    </row>
    <row r="263" spans="5:5" x14ac:dyDescent="0.2">
      <c r="E263" s="26"/>
    </row>
    <row r="264" spans="5:5" x14ac:dyDescent="0.2">
      <c r="E264" s="26"/>
    </row>
    <row r="265" spans="5:5" x14ac:dyDescent="0.2">
      <c r="E265" s="26"/>
    </row>
    <row r="266" spans="5:5" x14ac:dyDescent="0.2">
      <c r="E266" s="26"/>
    </row>
    <row r="267" spans="5:5" x14ac:dyDescent="0.2">
      <c r="E267" s="26"/>
    </row>
    <row r="268" spans="5:5" x14ac:dyDescent="0.2">
      <c r="E268" s="26"/>
    </row>
    <row r="269" spans="5:5" x14ac:dyDescent="0.2">
      <c r="E269" s="26"/>
    </row>
    <row r="270" spans="5:5" x14ac:dyDescent="0.2">
      <c r="E270" s="26"/>
    </row>
    <row r="271" spans="5:5" x14ac:dyDescent="0.2">
      <c r="E271" s="26"/>
    </row>
    <row r="272" spans="5:5" x14ac:dyDescent="0.2">
      <c r="E272" s="26"/>
    </row>
    <row r="273" spans="1:19" x14ac:dyDescent="0.2">
      <c r="E273" s="26"/>
    </row>
    <row r="274" spans="1:19" x14ac:dyDescent="0.2">
      <c r="E274" s="26"/>
    </row>
    <row r="275" spans="1:19" s="29" customFormat="1" x14ac:dyDescent="0.2">
      <c r="A275" s="4"/>
      <c r="B275" s="11"/>
      <c r="C275" s="25"/>
      <c r="D275" s="4"/>
      <c r="E275" s="26"/>
      <c r="F275" s="4"/>
      <c r="G275" s="4"/>
      <c r="H275" s="25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s="29" customFormat="1" x14ac:dyDescent="0.2">
      <c r="A276" s="4"/>
      <c r="B276" s="11"/>
      <c r="C276" s="25"/>
      <c r="D276" s="4"/>
      <c r="E276" s="26"/>
      <c r="F276" s="4"/>
      <c r="G276" s="4"/>
      <c r="H276" s="25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x14ac:dyDescent="0.2">
      <c r="A277" s="29"/>
      <c r="B277" s="30"/>
      <c r="C277" s="31"/>
      <c r="D277" s="29"/>
      <c r="E277" s="32"/>
      <c r="F277" s="29"/>
      <c r="G277" s="29"/>
      <c r="H277" s="31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</row>
    <row r="278" spans="1:19" x14ac:dyDescent="0.2">
      <c r="A278" s="29"/>
      <c r="B278" s="30"/>
      <c r="C278" s="31"/>
      <c r="D278" s="29"/>
      <c r="E278" s="32"/>
      <c r="F278" s="29"/>
      <c r="G278" s="29"/>
      <c r="H278" s="31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</row>
    <row r="279" spans="1:19" x14ac:dyDescent="0.2">
      <c r="E279" s="26"/>
    </row>
    <row r="280" spans="1:19" x14ac:dyDescent="0.2">
      <c r="E280" s="26"/>
    </row>
    <row r="281" spans="1:19" x14ac:dyDescent="0.2">
      <c r="E281" s="26"/>
    </row>
    <row r="282" spans="1:19" x14ac:dyDescent="0.2">
      <c r="E282" s="26"/>
    </row>
    <row r="283" spans="1:19" x14ac:dyDescent="0.2">
      <c r="E283" s="26"/>
    </row>
    <row r="284" spans="1:19" x14ac:dyDescent="0.2">
      <c r="E284" s="26"/>
    </row>
    <row r="285" spans="1:19" x14ac:dyDescent="0.2">
      <c r="E285" s="26"/>
    </row>
    <row r="286" spans="1:19" x14ac:dyDescent="0.2">
      <c r="E286" s="26"/>
    </row>
    <row r="287" spans="1:19" x14ac:dyDescent="0.2">
      <c r="E287" s="26"/>
    </row>
    <row r="288" spans="1:19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3335"/>
  <sheetViews>
    <sheetView topLeftCell="A273" workbookViewId="0">
      <selection activeCell="A321" sqref="A321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28515625" style="4" customWidth="1"/>
    <col min="6" max="7" width="9.140625" style="4"/>
    <col min="8" max="8" width="9.140625" style="25"/>
    <col min="9" max="16384" width="9.140625" style="4"/>
  </cols>
  <sheetData>
    <row r="1" spans="1:11" x14ac:dyDescent="0.2">
      <c r="A1" s="100" t="s">
        <v>0</v>
      </c>
      <c r="B1" s="2"/>
      <c r="C1" s="3">
        <f>SUM(C3:C696)</f>
        <v>39546.990000000013</v>
      </c>
      <c r="D1" s="3">
        <f>SUM(D3:D696)</f>
        <v>2595.9900000000002</v>
      </c>
      <c r="F1" s="166">
        <f>SUM(F3:F4774)</f>
        <v>14670.21</v>
      </c>
      <c r="G1" s="166">
        <f>SUM(G3:G4774)</f>
        <v>14493.2244653</v>
      </c>
      <c r="H1" s="5">
        <f ca="1">TODAY()</f>
        <v>43182</v>
      </c>
      <c r="I1" s="5"/>
      <c r="J1" s="5"/>
    </row>
    <row r="2" spans="1:11" x14ac:dyDescent="0.2">
      <c r="A2" s="100" t="s">
        <v>1</v>
      </c>
      <c r="B2" s="164" t="s">
        <v>2</v>
      </c>
      <c r="C2" s="165" t="s">
        <v>3</v>
      </c>
      <c r="D2" s="164" t="s">
        <v>4</v>
      </c>
      <c r="E2" s="164" t="s">
        <v>5</v>
      </c>
    </row>
    <row r="3" spans="1:11" x14ac:dyDescent="0.2">
      <c r="A3" s="10">
        <v>22272</v>
      </c>
      <c r="B3" s="11">
        <v>42795</v>
      </c>
      <c r="C3" s="12">
        <v>53.04</v>
      </c>
      <c r="D3" s="12">
        <v>4.04</v>
      </c>
      <c r="E3" s="161"/>
      <c r="F3" s="12"/>
      <c r="G3" s="12"/>
      <c r="H3" s="12"/>
    </row>
    <row r="4" spans="1:11" x14ac:dyDescent="0.2">
      <c r="A4" s="10">
        <v>22273</v>
      </c>
      <c r="B4" s="11">
        <v>42795</v>
      </c>
      <c r="C4" s="12">
        <v>214.06</v>
      </c>
      <c r="D4" s="12">
        <v>16.309999999999999</v>
      </c>
      <c r="E4" s="161"/>
      <c r="F4" s="12"/>
      <c r="G4" s="12"/>
      <c r="H4" s="12"/>
    </row>
    <row r="5" spans="1:11" x14ac:dyDescent="0.2">
      <c r="A5" s="10">
        <v>22274</v>
      </c>
      <c r="B5" s="11">
        <v>42795</v>
      </c>
      <c r="C5" s="12">
        <v>41.14</v>
      </c>
      <c r="D5" s="12">
        <v>3.14</v>
      </c>
      <c r="E5" s="15" t="s">
        <v>533</v>
      </c>
      <c r="F5" s="10"/>
      <c r="G5" s="10"/>
      <c r="H5" s="10"/>
      <c r="I5" s="10"/>
    </row>
    <row r="6" spans="1:11" x14ac:dyDescent="0.2">
      <c r="A6" s="10">
        <v>22275</v>
      </c>
      <c r="B6" s="11">
        <v>42795</v>
      </c>
      <c r="C6" s="12">
        <v>19.05</v>
      </c>
      <c r="D6" s="12">
        <v>1.45</v>
      </c>
      <c r="E6" s="13"/>
      <c r="F6" s="12"/>
      <c r="G6" s="12"/>
      <c r="H6" s="12"/>
      <c r="I6" s="10"/>
    </row>
    <row r="7" spans="1:11" x14ac:dyDescent="0.2">
      <c r="A7" s="10">
        <v>22276</v>
      </c>
      <c r="B7" s="11">
        <v>42795</v>
      </c>
      <c r="C7" s="12">
        <v>201.35</v>
      </c>
      <c r="D7" s="12">
        <v>15.35</v>
      </c>
      <c r="E7" s="15" t="s">
        <v>21</v>
      </c>
      <c r="F7" s="10"/>
      <c r="G7" s="10"/>
      <c r="H7" s="10"/>
      <c r="I7" s="10"/>
    </row>
    <row r="8" spans="1:11" x14ac:dyDescent="0.2">
      <c r="A8" s="10">
        <v>22277</v>
      </c>
      <c r="B8" s="11">
        <v>42795</v>
      </c>
      <c r="C8" s="12">
        <v>88.58</v>
      </c>
      <c r="D8" s="12">
        <v>6.75</v>
      </c>
      <c r="E8" s="15" t="s">
        <v>842</v>
      </c>
      <c r="F8" s="10"/>
      <c r="G8" s="10"/>
      <c r="H8" s="10"/>
      <c r="I8" s="10"/>
    </row>
    <row r="9" spans="1:11" x14ac:dyDescent="0.2">
      <c r="A9" s="10">
        <v>22278</v>
      </c>
      <c r="B9" s="11">
        <v>42795</v>
      </c>
      <c r="C9" s="12">
        <v>305.01</v>
      </c>
      <c r="D9" s="12">
        <v>23.25</v>
      </c>
      <c r="E9" s="15" t="s">
        <v>943</v>
      </c>
      <c r="F9" s="10"/>
      <c r="G9" s="10"/>
      <c r="H9" s="10"/>
      <c r="I9" s="10"/>
    </row>
    <row r="10" spans="1:11" x14ac:dyDescent="0.2">
      <c r="A10" s="10">
        <v>22279</v>
      </c>
      <c r="B10" s="11">
        <v>42795</v>
      </c>
      <c r="C10" s="12">
        <v>102.84</v>
      </c>
      <c r="D10" s="12">
        <v>7.84</v>
      </c>
      <c r="E10" s="15" t="s">
        <v>21</v>
      </c>
      <c r="F10" s="10"/>
      <c r="G10" s="10"/>
      <c r="H10" s="10"/>
      <c r="I10" s="10"/>
      <c r="K10" s="27"/>
    </row>
    <row r="11" spans="1:11" x14ac:dyDescent="0.2">
      <c r="A11" s="10">
        <v>22280</v>
      </c>
      <c r="B11" s="11">
        <v>42795</v>
      </c>
      <c r="C11" s="12">
        <v>72.53</v>
      </c>
      <c r="D11" s="12">
        <v>5.53</v>
      </c>
      <c r="E11" s="15" t="s">
        <v>11</v>
      </c>
      <c r="F11" s="10"/>
      <c r="G11" s="10"/>
      <c r="H11" s="10"/>
      <c r="I11" s="10"/>
      <c r="K11" s="27"/>
    </row>
    <row r="12" spans="1:11" x14ac:dyDescent="0.2">
      <c r="A12" s="10">
        <v>22281</v>
      </c>
      <c r="B12" s="11">
        <v>42795</v>
      </c>
      <c r="C12" s="12">
        <v>41.03</v>
      </c>
      <c r="D12" s="12">
        <v>3.13</v>
      </c>
      <c r="E12" s="15" t="s">
        <v>11</v>
      </c>
      <c r="F12" s="10"/>
      <c r="G12" s="10"/>
      <c r="H12" s="10"/>
      <c r="I12" s="10"/>
    </row>
    <row r="13" spans="1:11" x14ac:dyDescent="0.2">
      <c r="A13" s="10">
        <v>22282</v>
      </c>
      <c r="B13" s="11">
        <v>42795</v>
      </c>
      <c r="C13" s="12">
        <v>92.01</v>
      </c>
      <c r="D13" s="12">
        <v>7.01</v>
      </c>
      <c r="E13" s="13"/>
      <c r="F13" s="134">
        <f>+C8+C11+C12</f>
        <v>202.14000000000001</v>
      </c>
      <c r="G13" s="123">
        <f>+F13*0.97831</f>
        <v>197.75558340000001</v>
      </c>
      <c r="H13" s="161" t="s">
        <v>944</v>
      </c>
      <c r="I13" s="10"/>
      <c r="J13" s="27"/>
      <c r="K13" s="27"/>
    </row>
    <row r="14" spans="1:11" x14ac:dyDescent="0.2">
      <c r="A14" s="10">
        <v>22283</v>
      </c>
      <c r="B14" s="11">
        <v>42796</v>
      </c>
      <c r="C14" s="12">
        <v>139.63999999999999</v>
      </c>
      <c r="D14" s="12">
        <v>10.64</v>
      </c>
      <c r="E14" s="15" t="s">
        <v>11</v>
      </c>
      <c r="F14" s="10"/>
      <c r="G14" s="10"/>
      <c r="H14" s="10"/>
      <c r="I14" s="10"/>
      <c r="J14" s="27"/>
      <c r="K14" s="27"/>
    </row>
    <row r="15" spans="1:11" x14ac:dyDescent="0.2">
      <c r="A15" s="10">
        <v>22284</v>
      </c>
      <c r="B15" s="11">
        <v>42796</v>
      </c>
      <c r="C15" s="12">
        <v>7.03</v>
      </c>
      <c r="D15" s="12">
        <v>0.54</v>
      </c>
      <c r="E15" s="15" t="s">
        <v>11</v>
      </c>
      <c r="F15" s="10"/>
      <c r="G15" s="10"/>
      <c r="H15" s="10"/>
      <c r="I15" s="10"/>
      <c r="J15" s="27"/>
      <c r="K15" s="27"/>
    </row>
    <row r="16" spans="1:11" x14ac:dyDescent="0.2">
      <c r="A16" s="10">
        <v>22285</v>
      </c>
      <c r="B16" s="11">
        <v>42796</v>
      </c>
      <c r="C16" s="12">
        <v>53.04</v>
      </c>
      <c r="D16" s="12">
        <v>4.04</v>
      </c>
      <c r="E16" s="15" t="s">
        <v>21</v>
      </c>
      <c r="F16" s="10"/>
      <c r="G16" s="10"/>
      <c r="H16" s="10"/>
      <c r="I16" s="10"/>
      <c r="J16" s="27"/>
      <c r="K16" s="27"/>
    </row>
    <row r="17" spans="1:11" x14ac:dyDescent="0.2">
      <c r="A17" s="10">
        <v>22286</v>
      </c>
      <c r="B17" s="11">
        <v>42796</v>
      </c>
      <c r="C17" s="12">
        <v>358</v>
      </c>
      <c r="D17" s="12">
        <v>27.28</v>
      </c>
      <c r="E17" s="15"/>
      <c r="F17" s="10"/>
      <c r="G17" s="10"/>
      <c r="H17" s="10"/>
      <c r="I17" s="10"/>
      <c r="J17" s="27"/>
      <c r="K17" s="27"/>
    </row>
    <row r="18" spans="1:11" x14ac:dyDescent="0.2">
      <c r="A18" s="10">
        <v>22287</v>
      </c>
      <c r="B18" s="11">
        <v>42796</v>
      </c>
      <c r="C18" s="12">
        <v>200</v>
      </c>
      <c r="D18" s="12">
        <v>15.24</v>
      </c>
      <c r="E18" s="13"/>
      <c r="F18" s="12"/>
      <c r="G18" s="12"/>
      <c r="H18" s="12"/>
      <c r="I18" s="10"/>
      <c r="J18" s="27"/>
      <c r="K18" s="27"/>
    </row>
    <row r="19" spans="1:11" x14ac:dyDescent="0.2">
      <c r="A19" s="10">
        <v>22288</v>
      </c>
      <c r="B19" s="11">
        <v>42796</v>
      </c>
      <c r="C19" s="12">
        <v>150</v>
      </c>
      <c r="D19" s="12">
        <v>11.43</v>
      </c>
      <c r="E19" s="13"/>
      <c r="F19" s="12"/>
      <c r="G19" s="12"/>
      <c r="H19" s="12"/>
      <c r="I19" s="10"/>
      <c r="J19" s="27"/>
      <c r="K19" s="27"/>
    </row>
    <row r="20" spans="1:11" x14ac:dyDescent="0.2">
      <c r="A20" s="10">
        <v>22289</v>
      </c>
      <c r="B20" s="11">
        <v>42796</v>
      </c>
      <c r="C20" s="12">
        <v>50.010000000000005</v>
      </c>
      <c r="D20" s="12">
        <v>3.81</v>
      </c>
      <c r="E20" s="15" t="s">
        <v>842</v>
      </c>
      <c r="F20" s="10"/>
      <c r="G20" s="10"/>
      <c r="H20" s="10"/>
      <c r="I20" s="10"/>
      <c r="J20" s="27"/>
      <c r="K20" s="27"/>
    </row>
    <row r="21" spans="1:11" x14ac:dyDescent="0.2">
      <c r="A21" s="10">
        <v>22290</v>
      </c>
      <c r="B21" s="11">
        <v>42796</v>
      </c>
      <c r="C21" s="12">
        <v>293.83999999999997</v>
      </c>
      <c r="D21" s="12">
        <v>22.39</v>
      </c>
      <c r="E21" s="15" t="s">
        <v>842</v>
      </c>
      <c r="F21" s="10"/>
      <c r="G21" s="10"/>
      <c r="H21" s="10"/>
      <c r="I21" s="10"/>
      <c r="J21" s="27"/>
      <c r="K21" s="27"/>
    </row>
    <row r="22" spans="1:11" x14ac:dyDescent="0.2">
      <c r="A22" s="10">
        <v>22291</v>
      </c>
      <c r="B22" s="11">
        <v>42796</v>
      </c>
      <c r="C22" s="12">
        <v>37.89</v>
      </c>
      <c r="D22" s="12">
        <v>2.89</v>
      </c>
      <c r="E22" s="13"/>
      <c r="F22" s="12"/>
      <c r="G22" s="12"/>
      <c r="H22" s="12"/>
      <c r="I22" s="10"/>
      <c r="J22" s="27"/>
      <c r="K22" s="27"/>
    </row>
    <row r="23" spans="1:11" x14ac:dyDescent="0.2">
      <c r="A23" s="10">
        <v>22292</v>
      </c>
      <c r="B23" s="11">
        <v>42796</v>
      </c>
      <c r="C23" s="12">
        <v>59.99</v>
      </c>
      <c r="D23" s="12">
        <v>4.57</v>
      </c>
      <c r="E23" s="13"/>
      <c r="F23" s="134">
        <f>+C14+C15+C20+C21</f>
        <v>490.52</v>
      </c>
      <c r="G23" s="123">
        <f>+F23*0.97831</f>
        <v>479.88062120000001</v>
      </c>
      <c r="H23" s="12"/>
      <c r="I23" s="10"/>
      <c r="J23" s="27"/>
      <c r="K23" s="27"/>
    </row>
    <row r="24" spans="1:11" x14ac:dyDescent="0.2">
      <c r="A24" s="10">
        <v>22293</v>
      </c>
      <c r="B24" s="11">
        <v>42797</v>
      </c>
      <c r="C24" s="12">
        <v>34.64</v>
      </c>
      <c r="D24" s="12">
        <v>2.64</v>
      </c>
      <c r="E24" s="15" t="s">
        <v>842</v>
      </c>
      <c r="F24" s="10"/>
      <c r="G24" s="10"/>
      <c r="H24" s="10"/>
      <c r="I24" s="10"/>
      <c r="J24" s="27"/>
      <c r="K24" s="27"/>
    </row>
    <row r="25" spans="1:11" x14ac:dyDescent="0.2">
      <c r="A25" s="10">
        <v>22294</v>
      </c>
      <c r="B25" s="11">
        <v>42797</v>
      </c>
      <c r="C25" s="12">
        <v>80</v>
      </c>
      <c r="D25" s="12">
        <v>6.1</v>
      </c>
      <c r="E25" s="13"/>
      <c r="F25" s="12"/>
      <c r="G25" s="12"/>
      <c r="H25" s="12"/>
      <c r="I25" s="10"/>
      <c r="J25" s="27"/>
      <c r="K25" s="27"/>
    </row>
    <row r="26" spans="1:11" x14ac:dyDescent="0.2">
      <c r="A26" s="10">
        <v>22295</v>
      </c>
      <c r="B26" s="11">
        <v>42797</v>
      </c>
      <c r="C26" s="12">
        <v>474.14</v>
      </c>
      <c r="D26" s="12">
        <v>36.14</v>
      </c>
      <c r="E26" s="13"/>
      <c r="F26" s="12"/>
      <c r="G26" s="12"/>
      <c r="H26" s="12"/>
      <c r="I26" s="10"/>
      <c r="J26" s="27"/>
      <c r="K26" s="27"/>
    </row>
    <row r="27" spans="1:11" x14ac:dyDescent="0.2">
      <c r="A27" s="10">
        <v>22296</v>
      </c>
      <c r="B27" s="11">
        <v>42797</v>
      </c>
      <c r="C27" s="12">
        <v>51.42</v>
      </c>
      <c r="D27" s="12">
        <v>3.92</v>
      </c>
      <c r="E27" s="15" t="s">
        <v>842</v>
      </c>
      <c r="F27" s="10"/>
      <c r="G27" s="10"/>
      <c r="H27" s="10"/>
      <c r="I27" s="10"/>
      <c r="J27" s="27"/>
      <c r="K27" s="27"/>
    </row>
    <row r="28" spans="1:11" x14ac:dyDescent="0.2">
      <c r="A28" s="10">
        <v>22297</v>
      </c>
      <c r="B28" s="11">
        <v>42797</v>
      </c>
      <c r="C28" s="12">
        <v>37.89</v>
      </c>
      <c r="D28" s="12">
        <v>2.89</v>
      </c>
      <c r="E28" s="13"/>
      <c r="F28" s="12"/>
      <c r="G28" s="12"/>
      <c r="H28" s="12"/>
      <c r="I28" s="10"/>
      <c r="J28" s="27"/>
      <c r="K28" s="27"/>
    </row>
    <row r="29" spans="1:11" x14ac:dyDescent="0.2">
      <c r="A29" s="10">
        <v>22298</v>
      </c>
      <c r="B29" s="11">
        <v>42797</v>
      </c>
      <c r="C29" s="12">
        <v>182.94</v>
      </c>
      <c r="D29" s="12">
        <v>13.94</v>
      </c>
      <c r="E29" s="15" t="s">
        <v>842</v>
      </c>
      <c r="F29" s="10"/>
      <c r="G29" s="10"/>
      <c r="H29" s="10"/>
      <c r="I29" s="10"/>
      <c r="J29" s="27"/>
      <c r="K29" s="27"/>
    </row>
    <row r="30" spans="1:11" x14ac:dyDescent="0.2">
      <c r="A30" s="10">
        <v>22299</v>
      </c>
      <c r="B30" s="11">
        <v>42797</v>
      </c>
      <c r="C30" s="12">
        <v>32.479999999999997</v>
      </c>
      <c r="D30" s="12">
        <v>2.48</v>
      </c>
      <c r="E30" s="13"/>
      <c r="F30" s="12"/>
      <c r="G30" s="12"/>
      <c r="H30" s="12"/>
      <c r="I30" s="10"/>
      <c r="J30" s="27"/>
      <c r="K30" s="27"/>
    </row>
    <row r="31" spans="1:11" x14ac:dyDescent="0.2">
      <c r="A31" s="10">
        <v>22300</v>
      </c>
      <c r="B31" s="11">
        <v>42797</v>
      </c>
      <c r="C31" s="12">
        <v>281.45</v>
      </c>
      <c r="D31" s="12">
        <v>21.45</v>
      </c>
      <c r="E31" s="15" t="s">
        <v>842</v>
      </c>
      <c r="F31" s="134">
        <f>+C24+C27+C29</f>
        <v>269</v>
      </c>
      <c r="G31" s="123">
        <f>+F31*0.97831</f>
        <v>263.16539</v>
      </c>
      <c r="H31" s="10"/>
      <c r="I31" s="10"/>
      <c r="J31" s="27"/>
      <c r="K31" s="27"/>
    </row>
    <row r="32" spans="1:11" x14ac:dyDescent="0.2">
      <c r="A32" s="10">
        <v>22301</v>
      </c>
      <c r="B32" s="11">
        <v>42798</v>
      </c>
      <c r="C32" s="12">
        <v>75.78</v>
      </c>
      <c r="D32" s="12">
        <v>5.78</v>
      </c>
      <c r="E32" s="13"/>
      <c r="F32" s="12"/>
      <c r="G32" s="12"/>
      <c r="H32" s="12"/>
      <c r="I32" s="10"/>
      <c r="J32" s="27"/>
      <c r="K32" s="27"/>
    </row>
    <row r="33" spans="1:11" x14ac:dyDescent="0.2">
      <c r="A33" s="10">
        <v>22302</v>
      </c>
      <c r="B33" s="11">
        <v>42798</v>
      </c>
      <c r="C33" s="12">
        <v>27.06</v>
      </c>
      <c r="D33" s="12">
        <v>2.06</v>
      </c>
      <c r="E33" s="13"/>
      <c r="F33" s="12"/>
      <c r="G33" s="12"/>
      <c r="H33" s="12"/>
      <c r="I33" s="10"/>
      <c r="J33" s="27"/>
      <c r="K33" s="27"/>
    </row>
    <row r="34" spans="1:11" x14ac:dyDescent="0.2">
      <c r="A34" s="10">
        <v>22303</v>
      </c>
      <c r="B34" s="11">
        <v>42798</v>
      </c>
      <c r="C34" s="12">
        <v>140.72999999999999</v>
      </c>
      <c r="D34" s="12">
        <v>10.73</v>
      </c>
      <c r="E34" s="13"/>
      <c r="F34" s="12"/>
      <c r="G34" s="12"/>
      <c r="H34" s="12"/>
      <c r="I34" s="10"/>
      <c r="J34" s="27"/>
      <c r="K34" s="27"/>
    </row>
    <row r="35" spans="1:11" x14ac:dyDescent="0.2">
      <c r="A35" s="10">
        <v>22304</v>
      </c>
      <c r="B35" s="11">
        <v>42798</v>
      </c>
      <c r="C35" s="12">
        <v>46.33</v>
      </c>
      <c r="D35" s="12">
        <v>3.53</v>
      </c>
      <c r="E35" s="15" t="s">
        <v>842</v>
      </c>
      <c r="F35" s="10"/>
      <c r="G35" s="10"/>
      <c r="H35" s="10"/>
      <c r="I35" s="10"/>
      <c r="J35" s="27"/>
      <c r="K35" s="27"/>
    </row>
    <row r="36" spans="1:11" x14ac:dyDescent="0.2">
      <c r="A36" s="10">
        <v>22305</v>
      </c>
      <c r="B36" s="11">
        <v>42798</v>
      </c>
      <c r="C36" s="12">
        <v>291.14</v>
      </c>
      <c r="D36" s="12">
        <v>22.19</v>
      </c>
      <c r="E36" s="13"/>
      <c r="F36" s="12"/>
      <c r="G36" s="12"/>
      <c r="H36" s="12"/>
      <c r="I36" s="10"/>
      <c r="J36" s="27"/>
      <c r="K36" s="27"/>
    </row>
    <row r="37" spans="1:11" x14ac:dyDescent="0.2">
      <c r="A37" s="10">
        <v>22306</v>
      </c>
      <c r="B37" s="11">
        <v>42798</v>
      </c>
      <c r="C37" s="12">
        <v>48.71</v>
      </c>
      <c r="D37" s="12">
        <v>3.71</v>
      </c>
      <c r="E37" s="15" t="s">
        <v>842</v>
      </c>
      <c r="F37" s="10"/>
      <c r="G37" s="10"/>
      <c r="H37" s="10"/>
      <c r="I37" s="10"/>
      <c r="J37" s="27"/>
      <c r="K37" s="27"/>
    </row>
    <row r="38" spans="1:11" x14ac:dyDescent="0.2">
      <c r="A38" s="10">
        <v>22307</v>
      </c>
      <c r="B38" s="11">
        <v>42798</v>
      </c>
      <c r="C38" s="12">
        <v>140</v>
      </c>
      <c r="D38" s="12">
        <v>10.67</v>
      </c>
      <c r="E38" s="13"/>
      <c r="F38" s="134">
        <f>+C35+C37</f>
        <v>95.039999999999992</v>
      </c>
      <c r="G38" s="123">
        <f>+F38*0.97831</f>
        <v>92.978582399999993</v>
      </c>
      <c r="H38" s="12"/>
      <c r="I38" s="10"/>
      <c r="J38" s="27"/>
      <c r="K38" s="27"/>
    </row>
    <row r="39" spans="1:11" x14ac:dyDescent="0.2">
      <c r="A39" s="10">
        <v>22308</v>
      </c>
      <c r="B39" s="11">
        <v>42800</v>
      </c>
      <c r="C39" s="12">
        <v>244.1</v>
      </c>
      <c r="D39" s="12">
        <v>18.600000000000001</v>
      </c>
      <c r="E39" s="15" t="s">
        <v>842</v>
      </c>
      <c r="F39" s="10"/>
      <c r="G39" s="10"/>
      <c r="H39" s="10"/>
      <c r="I39" s="10"/>
      <c r="J39" s="27"/>
      <c r="K39" s="27"/>
    </row>
    <row r="40" spans="1:11" x14ac:dyDescent="0.2">
      <c r="A40" s="10">
        <v>22309</v>
      </c>
      <c r="B40" s="11">
        <v>42800</v>
      </c>
      <c r="C40" s="12">
        <v>18.399999999999999</v>
      </c>
      <c r="D40" s="12">
        <v>1.4</v>
      </c>
      <c r="E40" s="13"/>
      <c r="F40" s="12"/>
      <c r="G40" s="12"/>
      <c r="H40" s="12"/>
      <c r="I40" s="10"/>
      <c r="J40" s="27"/>
      <c r="K40" s="27"/>
    </row>
    <row r="41" spans="1:11" x14ac:dyDescent="0.2">
      <c r="A41" s="10">
        <v>22310</v>
      </c>
      <c r="B41" s="11">
        <v>42800</v>
      </c>
      <c r="C41" s="12">
        <v>16.239999999999998</v>
      </c>
      <c r="D41" s="12">
        <v>1.24</v>
      </c>
      <c r="E41" s="13"/>
      <c r="F41" s="12"/>
      <c r="G41" s="12"/>
      <c r="H41" s="12"/>
      <c r="I41" s="10"/>
      <c r="J41" s="27"/>
      <c r="K41" s="27"/>
    </row>
    <row r="42" spans="1:11" x14ac:dyDescent="0.2">
      <c r="A42" s="10">
        <v>22311</v>
      </c>
      <c r="B42" s="11">
        <v>42800</v>
      </c>
      <c r="C42" s="12">
        <v>98.51</v>
      </c>
      <c r="D42" s="12">
        <v>7.51</v>
      </c>
      <c r="E42" s="15" t="s">
        <v>11</v>
      </c>
      <c r="F42" s="10"/>
      <c r="G42" s="10"/>
      <c r="H42" s="10"/>
      <c r="I42" s="10"/>
      <c r="J42" s="27"/>
      <c r="K42" s="27"/>
    </row>
    <row r="43" spans="1:11" x14ac:dyDescent="0.2">
      <c r="A43" s="10">
        <v>22312</v>
      </c>
      <c r="B43" s="11">
        <v>42800</v>
      </c>
      <c r="C43" s="12">
        <v>232.74</v>
      </c>
      <c r="D43" s="12">
        <v>17.739999999999998</v>
      </c>
      <c r="E43" s="15" t="s">
        <v>11</v>
      </c>
      <c r="F43" s="10"/>
      <c r="G43" s="10"/>
      <c r="H43" s="10"/>
      <c r="I43" s="10"/>
      <c r="J43" s="27"/>
      <c r="K43" s="27"/>
    </row>
    <row r="44" spans="1:11" x14ac:dyDescent="0.2">
      <c r="A44" s="10">
        <v>22313</v>
      </c>
      <c r="B44" s="11">
        <v>42800</v>
      </c>
      <c r="C44" s="12">
        <v>27.06</v>
      </c>
      <c r="D44" s="12">
        <v>2.06</v>
      </c>
      <c r="E44" s="13"/>
      <c r="F44" s="12"/>
      <c r="G44" s="12"/>
      <c r="H44" s="12"/>
      <c r="I44" s="10"/>
      <c r="J44" s="27"/>
      <c r="K44" s="27"/>
    </row>
    <row r="45" spans="1:11" x14ac:dyDescent="0.2">
      <c r="A45" s="10">
        <v>22314</v>
      </c>
      <c r="B45" s="11">
        <v>42800</v>
      </c>
      <c r="C45" s="12">
        <v>131.52000000000001</v>
      </c>
      <c r="D45" s="12">
        <v>10.02</v>
      </c>
      <c r="E45" s="15" t="s">
        <v>7</v>
      </c>
      <c r="F45" s="10"/>
      <c r="G45" s="10"/>
      <c r="H45" s="10"/>
      <c r="I45" s="10"/>
      <c r="J45" s="27"/>
      <c r="K45" s="27"/>
    </row>
    <row r="46" spans="1:11" x14ac:dyDescent="0.2">
      <c r="A46" s="10">
        <v>22315</v>
      </c>
      <c r="B46" s="11">
        <v>42800</v>
      </c>
      <c r="C46" s="12">
        <v>115</v>
      </c>
      <c r="D46" s="12">
        <v>8.76</v>
      </c>
      <c r="E46" s="13"/>
      <c r="F46" s="12"/>
      <c r="G46" s="12"/>
      <c r="H46" s="12"/>
      <c r="I46" s="10"/>
      <c r="J46" s="27"/>
      <c r="K46" s="27"/>
    </row>
    <row r="47" spans="1:11" x14ac:dyDescent="0.2">
      <c r="A47" s="10">
        <v>22316</v>
      </c>
      <c r="B47" s="11">
        <v>42800</v>
      </c>
      <c r="C47" s="12">
        <v>711.2</v>
      </c>
      <c r="D47" s="12">
        <v>54.2</v>
      </c>
      <c r="E47" s="13"/>
      <c r="F47" s="12"/>
      <c r="G47" s="12"/>
      <c r="H47" s="12"/>
      <c r="I47" s="10"/>
      <c r="J47" s="27"/>
      <c r="K47" s="27"/>
    </row>
    <row r="48" spans="1:11" x14ac:dyDescent="0.2">
      <c r="A48" s="10">
        <v>22317</v>
      </c>
      <c r="B48" s="11">
        <v>42800</v>
      </c>
      <c r="C48" s="12">
        <v>54.13</v>
      </c>
      <c r="D48" s="12">
        <v>4.13</v>
      </c>
      <c r="E48" s="13"/>
      <c r="F48" s="12"/>
      <c r="G48" s="12"/>
      <c r="H48" s="12"/>
      <c r="I48" s="10"/>
      <c r="J48" s="27"/>
      <c r="K48" s="27"/>
    </row>
    <row r="49" spans="1:11" x14ac:dyDescent="0.2">
      <c r="A49" s="10">
        <v>22318</v>
      </c>
      <c r="B49" s="11">
        <v>42800</v>
      </c>
      <c r="C49" s="12">
        <v>21.599999999999998</v>
      </c>
      <c r="D49" s="12">
        <v>1.65</v>
      </c>
      <c r="E49" s="15" t="s">
        <v>11</v>
      </c>
      <c r="F49" s="10"/>
      <c r="G49" s="10">
        <f>728.47-509.6</f>
        <v>218.87</v>
      </c>
      <c r="H49" s="10"/>
      <c r="I49" s="10"/>
      <c r="J49" s="27"/>
      <c r="K49" s="27"/>
    </row>
    <row r="50" spans="1:11" x14ac:dyDescent="0.2">
      <c r="A50" s="10">
        <v>22319</v>
      </c>
      <c r="B50" s="11">
        <v>42800</v>
      </c>
      <c r="C50" s="12">
        <v>99.05</v>
      </c>
      <c r="D50" s="12">
        <v>7.55</v>
      </c>
      <c r="E50" s="15" t="s">
        <v>21</v>
      </c>
      <c r="F50" s="134">
        <f>+C39+C42+C43+C45+C49</f>
        <v>728.47</v>
      </c>
      <c r="G50" s="123">
        <f>+F50*0.97831</f>
        <v>712.6694857</v>
      </c>
      <c r="H50" s="10"/>
      <c r="I50" s="10"/>
      <c r="J50" s="27"/>
      <c r="K50" s="27"/>
    </row>
    <row r="51" spans="1:11" x14ac:dyDescent="0.2">
      <c r="A51" s="10">
        <v>22320</v>
      </c>
      <c r="B51" s="11">
        <v>42801</v>
      </c>
      <c r="C51" s="12">
        <v>27</v>
      </c>
      <c r="D51" s="12"/>
      <c r="E51" s="15" t="s">
        <v>11</v>
      </c>
      <c r="F51" s="10"/>
      <c r="G51" s="10"/>
      <c r="H51" s="10"/>
      <c r="I51" s="10"/>
      <c r="J51" s="27"/>
      <c r="K51" s="27"/>
    </row>
    <row r="52" spans="1:11" x14ac:dyDescent="0.2">
      <c r="A52" s="10">
        <v>22321</v>
      </c>
      <c r="B52" s="11">
        <v>42801</v>
      </c>
      <c r="C52" s="12">
        <v>135</v>
      </c>
      <c r="D52" s="12">
        <v>10.29</v>
      </c>
      <c r="E52" s="15" t="s">
        <v>7</v>
      </c>
      <c r="F52" s="10"/>
      <c r="G52" s="10"/>
      <c r="H52" s="10"/>
      <c r="I52" s="10"/>
      <c r="J52" s="27"/>
      <c r="K52" s="27"/>
    </row>
    <row r="53" spans="1:11" x14ac:dyDescent="0.2">
      <c r="A53" s="10">
        <v>22322</v>
      </c>
      <c r="B53" s="11">
        <v>42801</v>
      </c>
      <c r="C53" s="12">
        <v>71.45</v>
      </c>
      <c r="D53" s="12">
        <v>5.45</v>
      </c>
      <c r="E53" s="15" t="s">
        <v>11</v>
      </c>
      <c r="F53" s="10"/>
      <c r="G53" s="10"/>
      <c r="H53" s="10"/>
      <c r="I53" s="10"/>
      <c r="J53" s="27"/>
      <c r="K53" s="27"/>
    </row>
    <row r="54" spans="1:11" x14ac:dyDescent="0.2">
      <c r="A54" s="10">
        <v>22323</v>
      </c>
      <c r="B54" s="11">
        <v>42801</v>
      </c>
      <c r="C54" s="12">
        <v>10</v>
      </c>
      <c r="D54" s="12">
        <v>0.76</v>
      </c>
      <c r="E54" s="13"/>
      <c r="F54" s="12"/>
      <c r="G54" s="12"/>
      <c r="H54" s="12"/>
      <c r="I54" s="10"/>
      <c r="J54" s="27"/>
      <c r="K54" s="27"/>
    </row>
    <row r="55" spans="1:11" x14ac:dyDescent="0.2">
      <c r="A55" s="10">
        <v>22324</v>
      </c>
      <c r="B55" s="11">
        <v>42801</v>
      </c>
      <c r="C55" s="12">
        <v>115.83</v>
      </c>
      <c r="D55" s="12">
        <v>8.83</v>
      </c>
      <c r="E55" s="15" t="s">
        <v>21</v>
      </c>
      <c r="F55" s="10"/>
      <c r="G55" s="10"/>
      <c r="H55" s="10"/>
      <c r="I55" s="10"/>
      <c r="J55" s="27"/>
      <c r="K55" s="27"/>
    </row>
    <row r="56" spans="1:11" x14ac:dyDescent="0.2">
      <c r="A56" s="10">
        <v>22325</v>
      </c>
      <c r="B56" s="11">
        <v>42801</v>
      </c>
      <c r="C56" s="12">
        <v>10</v>
      </c>
      <c r="D56" s="12">
        <v>0.76</v>
      </c>
      <c r="E56" s="13"/>
      <c r="F56" s="12"/>
      <c r="G56" s="12"/>
      <c r="H56" s="12"/>
      <c r="I56" s="10"/>
      <c r="J56" s="27"/>
      <c r="K56" s="27"/>
    </row>
    <row r="57" spans="1:11" x14ac:dyDescent="0.2">
      <c r="A57" s="10">
        <v>22326</v>
      </c>
      <c r="B57" s="11">
        <v>42801</v>
      </c>
      <c r="C57" s="12">
        <v>48.71</v>
      </c>
      <c r="D57" s="12">
        <v>3.71</v>
      </c>
      <c r="E57" s="15" t="s">
        <v>11</v>
      </c>
      <c r="F57" s="10"/>
      <c r="G57" s="10"/>
      <c r="H57" s="10"/>
      <c r="I57" s="10"/>
      <c r="J57" s="27"/>
      <c r="K57" s="27"/>
    </row>
    <row r="58" spans="1:11" x14ac:dyDescent="0.2">
      <c r="A58" s="10">
        <v>22327</v>
      </c>
      <c r="B58" s="11">
        <v>42801</v>
      </c>
      <c r="C58" s="12">
        <v>550.45000000000005</v>
      </c>
      <c r="D58" s="12">
        <v>41.95</v>
      </c>
      <c r="E58" s="13"/>
      <c r="F58" s="12"/>
      <c r="G58" s="12"/>
      <c r="H58" s="12"/>
      <c r="I58" s="10"/>
      <c r="J58" s="27"/>
      <c r="K58" s="27"/>
    </row>
    <row r="59" spans="1:11" x14ac:dyDescent="0.2">
      <c r="A59" s="10">
        <v>22328</v>
      </c>
      <c r="B59" s="11">
        <v>42801</v>
      </c>
      <c r="C59" s="12">
        <v>137.47999999999999</v>
      </c>
      <c r="D59" s="12">
        <v>10.48</v>
      </c>
      <c r="E59" s="13"/>
      <c r="G59" s="156" t="s">
        <v>945</v>
      </c>
      <c r="H59" s="12"/>
      <c r="I59" s="10"/>
      <c r="J59" s="27"/>
      <c r="K59" s="27"/>
    </row>
    <row r="60" spans="1:11" x14ac:dyDescent="0.2">
      <c r="A60" s="10">
        <v>22329</v>
      </c>
      <c r="B60" s="11">
        <v>42801</v>
      </c>
      <c r="C60" s="12">
        <v>107.17</v>
      </c>
      <c r="D60" s="12">
        <v>8.17</v>
      </c>
      <c r="E60" s="15" t="s">
        <v>7</v>
      </c>
      <c r="F60" s="20">
        <f>+C51+C53+C52+C57+C60</f>
        <v>389.33</v>
      </c>
      <c r="G60" s="20">
        <v>380.78</v>
      </c>
      <c r="H60" s="10"/>
      <c r="I60" s="10"/>
      <c r="J60" s="27"/>
      <c r="K60" s="27"/>
    </row>
    <row r="61" spans="1:11" x14ac:dyDescent="0.2">
      <c r="A61" s="10">
        <v>22330</v>
      </c>
      <c r="B61" s="11">
        <v>42802</v>
      </c>
      <c r="C61" s="12">
        <v>34.629999999999995</v>
      </c>
      <c r="D61" s="12">
        <v>2.64</v>
      </c>
      <c r="E61" s="15" t="s">
        <v>7</v>
      </c>
      <c r="F61" s="21"/>
      <c r="G61" s="22"/>
      <c r="H61" s="10"/>
      <c r="I61" s="10"/>
      <c r="J61" s="27"/>
      <c r="K61" s="27"/>
    </row>
    <row r="62" spans="1:11" x14ac:dyDescent="0.2">
      <c r="A62" s="10">
        <v>22331</v>
      </c>
      <c r="B62" s="11">
        <v>42802</v>
      </c>
      <c r="C62" s="12">
        <v>410.27</v>
      </c>
      <c r="D62" s="12">
        <v>31.27</v>
      </c>
      <c r="E62" s="15" t="s">
        <v>7</v>
      </c>
      <c r="H62" s="10"/>
      <c r="I62" s="10"/>
      <c r="J62" s="27"/>
      <c r="K62" s="27"/>
    </row>
    <row r="63" spans="1:11" x14ac:dyDescent="0.2">
      <c r="A63" s="10">
        <v>22332</v>
      </c>
      <c r="B63" s="11">
        <v>42802</v>
      </c>
      <c r="C63" s="12">
        <v>88.69</v>
      </c>
      <c r="D63" s="12">
        <v>5.99</v>
      </c>
      <c r="E63" s="17"/>
      <c r="F63" s="18"/>
      <c r="G63" s="19"/>
      <c r="H63" s="12"/>
      <c r="I63" s="10"/>
      <c r="J63" s="27"/>
      <c r="K63" s="27"/>
    </row>
    <row r="64" spans="1:11" x14ac:dyDescent="0.2">
      <c r="A64" s="10">
        <v>22333</v>
      </c>
      <c r="B64" s="11">
        <v>42802</v>
      </c>
      <c r="C64" s="12">
        <v>208.92</v>
      </c>
      <c r="D64" s="12">
        <v>15.92</v>
      </c>
      <c r="E64" s="15" t="s">
        <v>946</v>
      </c>
      <c r="F64" s="21"/>
      <c r="G64" s="22"/>
      <c r="H64" s="10"/>
      <c r="I64" s="10"/>
      <c r="J64" s="27"/>
      <c r="K64" s="27"/>
    </row>
    <row r="65" spans="1:11" x14ac:dyDescent="0.2">
      <c r="A65" s="10">
        <v>22334</v>
      </c>
      <c r="B65" s="11">
        <v>42802</v>
      </c>
      <c r="C65" s="12">
        <v>32.42</v>
      </c>
      <c r="D65" s="12">
        <v>2.4700000000000002</v>
      </c>
      <c r="E65" s="15" t="s">
        <v>7</v>
      </c>
      <c r="F65" s="21"/>
      <c r="G65" s="22"/>
      <c r="H65" s="10"/>
      <c r="I65" s="10"/>
      <c r="J65" s="27"/>
      <c r="K65" s="27"/>
    </row>
    <row r="66" spans="1:11" x14ac:dyDescent="0.2">
      <c r="A66" s="10">
        <v>22335</v>
      </c>
      <c r="B66" s="11">
        <v>42802</v>
      </c>
      <c r="C66" s="12">
        <v>173.74</v>
      </c>
      <c r="D66" s="12">
        <v>13.24</v>
      </c>
      <c r="E66" s="15"/>
      <c r="F66" s="21"/>
      <c r="G66" s="22"/>
      <c r="H66" s="10"/>
      <c r="I66" s="10"/>
      <c r="J66" s="27"/>
      <c r="K66" s="27"/>
    </row>
    <row r="67" spans="1:11" x14ac:dyDescent="0.2">
      <c r="A67" s="10">
        <v>22336</v>
      </c>
      <c r="B67" s="11">
        <v>42802</v>
      </c>
      <c r="C67" s="12">
        <v>278.2</v>
      </c>
      <c r="D67" s="12">
        <v>21.2</v>
      </c>
      <c r="E67" s="15" t="s">
        <v>533</v>
      </c>
      <c r="I67" s="10"/>
      <c r="J67" s="27"/>
      <c r="K67" s="27"/>
    </row>
    <row r="68" spans="1:11" x14ac:dyDescent="0.2">
      <c r="A68" s="10">
        <v>22337</v>
      </c>
      <c r="B68" s="11">
        <v>42802</v>
      </c>
      <c r="C68" s="12">
        <v>187</v>
      </c>
      <c r="D68" s="12"/>
      <c r="E68" s="15" t="s">
        <v>947</v>
      </c>
      <c r="I68" s="10"/>
      <c r="J68" s="27"/>
      <c r="K68" s="27"/>
    </row>
    <row r="69" spans="1:11" x14ac:dyDescent="0.2">
      <c r="A69" s="10">
        <v>22338</v>
      </c>
      <c r="B69" s="11">
        <v>42802</v>
      </c>
      <c r="C69" s="12">
        <v>371.3</v>
      </c>
      <c r="D69" s="12">
        <v>28.3</v>
      </c>
      <c r="E69" s="15" t="s">
        <v>533</v>
      </c>
      <c r="F69" s="21"/>
      <c r="G69" s="22"/>
      <c r="H69" s="10"/>
      <c r="I69" s="10"/>
      <c r="J69" s="27"/>
      <c r="K69" s="27"/>
    </row>
    <row r="70" spans="1:11" x14ac:dyDescent="0.2">
      <c r="A70" s="10">
        <v>22339</v>
      </c>
      <c r="B70" s="11">
        <v>42802</v>
      </c>
      <c r="C70" s="12">
        <v>380.5</v>
      </c>
      <c r="D70" s="12">
        <v>29</v>
      </c>
      <c r="E70" s="15" t="s">
        <v>21</v>
      </c>
      <c r="I70" s="10"/>
      <c r="J70" s="27"/>
      <c r="K70" s="27"/>
    </row>
    <row r="71" spans="1:11" x14ac:dyDescent="0.2">
      <c r="A71" s="10">
        <v>22340</v>
      </c>
      <c r="B71" s="11">
        <v>42802</v>
      </c>
      <c r="C71" s="12">
        <v>10</v>
      </c>
      <c r="D71" s="12">
        <v>0.76</v>
      </c>
      <c r="E71" s="17"/>
      <c r="I71" s="10"/>
      <c r="J71" s="27"/>
      <c r="K71" s="27"/>
    </row>
    <row r="72" spans="1:11" x14ac:dyDescent="0.2">
      <c r="A72" s="10">
        <v>22341</v>
      </c>
      <c r="B72" s="11">
        <v>42802</v>
      </c>
      <c r="C72" s="12">
        <v>393.35</v>
      </c>
      <c r="D72" s="12"/>
      <c r="E72" s="15" t="s">
        <v>253</v>
      </c>
      <c r="I72" s="10"/>
      <c r="J72" s="27"/>
      <c r="K72" s="27"/>
    </row>
    <row r="73" spans="1:11" x14ac:dyDescent="0.2">
      <c r="A73" s="10">
        <v>22342</v>
      </c>
      <c r="B73" s="11">
        <v>42802</v>
      </c>
      <c r="C73" s="12">
        <v>387.38</v>
      </c>
      <c r="D73" s="12"/>
      <c r="E73" s="15" t="s">
        <v>432</v>
      </c>
      <c r="F73" s="212"/>
      <c r="G73" s="207"/>
      <c r="H73" s="10"/>
      <c r="I73" s="10"/>
      <c r="J73" s="27"/>
      <c r="K73" s="27"/>
    </row>
    <row r="74" spans="1:11" x14ac:dyDescent="0.2">
      <c r="A74" s="10">
        <v>22343</v>
      </c>
      <c r="B74" s="11">
        <v>42802</v>
      </c>
      <c r="C74" s="12">
        <v>17</v>
      </c>
      <c r="D74" s="12"/>
      <c r="E74" s="15" t="s">
        <v>114</v>
      </c>
      <c r="F74" s="20">
        <f>+C61+C62+100+C65+181.45+148.98+649.5</f>
        <v>1557.25</v>
      </c>
      <c r="G74" s="20">
        <f>898.72+547.2</f>
        <v>1445.92</v>
      </c>
      <c r="H74" s="253"/>
      <c r="I74" s="10"/>
      <c r="J74" s="27"/>
      <c r="K74" s="27"/>
    </row>
    <row r="75" spans="1:11" x14ac:dyDescent="0.2">
      <c r="A75" s="10">
        <v>22344</v>
      </c>
      <c r="B75" s="11">
        <v>42803</v>
      </c>
      <c r="C75" s="12">
        <v>28.15</v>
      </c>
      <c r="D75" s="12">
        <v>2.15</v>
      </c>
      <c r="E75" s="17"/>
      <c r="F75" s="18"/>
      <c r="G75" s="19"/>
      <c r="H75" s="12"/>
      <c r="I75" s="10"/>
      <c r="J75" s="27"/>
      <c r="K75" s="27"/>
    </row>
    <row r="76" spans="1:11" x14ac:dyDescent="0.2">
      <c r="A76" s="10">
        <v>22345</v>
      </c>
      <c r="B76" s="11">
        <v>42803</v>
      </c>
      <c r="C76" s="12">
        <v>15</v>
      </c>
      <c r="D76" s="12">
        <v>1.1399999999999999</v>
      </c>
      <c r="E76" s="17"/>
      <c r="I76" s="10"/>
      <c r="J76" s="27"/>
      <c r="K76" s="27"/>
    </row>
    <row r="77" spans="1:11" x14ac:dyDescent="0.2">
      <c r="A77" s="10">
        <v>22346</v>
      </c>
      <c r="B77" s="11">
        <v>42803</v>
      </c>
      <c r="C77" s="12">
        <v>31.39</v>
      </c>
      <c r="D77" s="12">
        <v>2.39</v>
      </c>
      <c r="E77" s="15" t="s">
        <v>11</v>
      </c>
      <c r="F77" s="21"/>
      <c r="G77" s="22"/>
      <c r="H77" s="10"/>
      <c r="I77" s="10"/>
      <c r="J77" s="27"/>
      <c r="K77" s="27"/>
    </row>
    <row r="78" spans="1:11" x14ac:dyDescent="0.2">
      <c r="A78" s="10">
        <v>22347</v>
      </c>
      <c r="B78" s="11">
        <v>42803</v>
      </c>
      <c r="C78" s="12">
        <v>132.5</v>
      </c>
      <c r="D78" s="12"/>
      <c r="E78" s="15" t="s">
        <v>941</v>
      </c>
      <c r="I78" s="10"/>
      <c r="J78" s="27"/>
      <c r="K78" s="27"/>
    </row>
    <row r="79" spans="1:11" x14ac:dyDescent="0.2">
      <c r="A79" s="10">
        <v>22348</v>
      </c>
      <c r="B79" s="11">
        <v>42803</v>
      </c>
      <c r="C79" s="12">
        <v>84.9</v>
      </c>
      <c r="D79" s="12"/>
      <c r="E79" s="15" t="s">
        <v>941</v>
      </c>
      <c r="I79" s="10"/>
      <c r="J79" s="27"/>
      <c r="K79" s="27"/>
    </row>
    <row r="80" spans="1:11" x14ac:dyDescent="0.2">
      <c r="A80" s="10">
        <v>22349</v>
      </c>
      <c r="B80" s="11">
        <v>42803</v>
      </c>
      <c r="C80" s="12">
        <v>257</v>
      </c>
      <c r="D80" s="12"/>
      <c r="E80" s="15" t="s">
        <v>941</v>
      </c>
      <c r="F80" s="21"/>
      <c r="G80" s="22"/>
      <c r="H80" s="10"/>
      <c r="I80" s="10"/>
      <c r="J80" s="27"/>
      <c r="K80" s="27"/>
    </row>
    <row r="81" spans="1:11" x14ac:dyDescent="0.2">
      <c r="A81" s="10">
        <v>22350</v>
      </c>
      <c r="B81" s="11">
        <v>42803</v>
      </c>
      <c r="C81" s="12">
        <v>543.41999999999996</v>
      </c>
      <c r="D81" s="12">
        <v>41.42</v>
      </c>
      <c r="E81" s="15" t="s">
        <v>948</v>
      </c>
      <c r="I81" s="10"/>
      <c r="J81" s="27"/>
      <c r="K81" s="27"/>
    </row>
    <row r="82" spans="1:11" x14ac:dyDescent="0.2">
      <c r="A82" s="10">
        <v>22351</v>
      </c>
      <c r="B82" s="11">
        <v>42803</v>
      </c>
      <c r="C82" s="12">
        <v>7</v>
      </c>
      <c r="D82" s="12"/>
      <c r="E82" s="15" t="s">
        <v>114</v>
      </c>
      <c r="I82" s="10"/>
      <c r="J82" s="27"/>
      <c r="K82" s="27"/>
    </row>
    <row r="83" spans="1:11" x14ac:dyDescent="0.2">
      <c r="A83" s="10">
        <v>22352</v>
      </c>
      <c r="B83" s="11">
        <v>42803</v>
      </c>
      <c r="C83" s="12">
        <v>127</v>
      </c>
      <c r="D83" s="12"/>
      <c r="E83" s="15" t="s">
        <v>519</v>
      </c>
      <c r="I83" s="10"/>
      <c r="J83" s="27"/>
      <c r="K83" s="27"/>
    </row>
    <row r="84" spans="1:11" x14ac:dyDescent="0.2">
      <c r="A84" s="10">
        <v>22353</v>
      </c>
      <c r="B84" s="11">
        <v>42803</v>
      </c>
      <c r="C84" s="12">
        <v>0</v>
      </c>
      <c r="D84" s="12"/>
      <c r="E84" s="13" t="s">
        <v>733</v>
      </c>
      <c r="F84" s="134">
        <f>+C77+273.42+C83+40</f>
        <v>471.81</v>
      </c>
      <c r="G84" s="123">
        <f>+F84*0.97831</f>
        <v>461.57644110000001</v>
      </c>
      <c r="H84" s="253"/>
      <c r="I84" s="10"/>
      <c r="J84" s="27"/>
      <c r="K84" s="27"/>
    </row>
    <row r="85" spans="1:11" x14ac:dyDescent="0.2">
      <c r="A85" s="10">
        <v>22354</v>
      </c>
      <c r="B85" s="11">
        <v>42804</v>
      </c>
      <c r="C85" s="12">
        <v>66.03</v>
      </c>
      <c r="D85" s="12">
        <v>5.03</v>
      </c>
      <c r="E85" s="15" t="s">
        <v>11</v>
      </c>
      <c r="F85" s="21"/>
      <c r="G85" s="22"/>
      <c r="H85" s="10"/>
      <c r="I85" s="10"/>
      <c r="J85" s="27"/>
      <c r="K85" s="27"/>
    </row>
    <row r="86" spans="1:11" x14ac:dyDescent="0.2">
      <c r="A86" s="10">
        <v>22355</v>
      </c>
      <c r="B86" s="11">
        <v>42804</v>
      </c>
      <c r="C86" s="12">
        <v>102.3</v>
      </c>
      <c r="D86" s="12">
        <v>7.8</v>
      </c>
      <c r="E86" s="15" t="s">
        <v>7</v>
      </c>
      <c r="I86" s="10"/>
      <c r="J86" s="27"/>
      <c r="K86" s="27"/>
    </row>
    <row r="87" spans="1:11" x14ac:dyDescent="0.2">
      <c r="A87" s="10">
        <v>22356</v>
      </c>
      <c r="B87" s="11">
        <v>42804</v>
      </c>
      <c r="C87" s="12">
        <v>84.98</v>
      </c>
      <c r="D87" s="12">
        <v>6.48</v>
      </c>
      <c r="E87" s="15" t="s">
        <v>11</v>
      </c>
      <c r="I87" s="10"/>
      <c r="J87" s="27"/>
      <c r="K87" s="27"/>
    </row>
    <row r="88" spans="1:11" x14ac:dyDescent="0.2">
      <c r="A88" s="10">
        <v>22357</v>
      </c>
      <c r="B88" s="11">
        <v>42804</v>
      </c>
      <c r="C88" s="12">
        <v>60.62</v>
      </c>
      <c r="D88" s="12">
        <v>4.62</v>
      </c>
      <c r="E88" s="15" t="s">
        <v>949</v>
      </c>
      <c r="F88" s="21"/>
      <c r="G88" s="22"/>
      <c r="H88" s="10"/>
      <c r="I88" s="10"/>
      <c r="J88" s="27"/>
      <c r="K88" s="27"/>
    </row>
    <row r="89" spans="1:11" x14ac:dyDescent="0.2">
      <c r="A89" s="10">
        <v>22358</v>
      </c>
      <c r="B89" s="11">
        <v>42804</v>
      </c>
      <c r="C89" s="12">
        <v>-106.09</v>
      </c>
      <c r="D89" s="12">
        <v>-8.09</v>
      </c>
      <c r="E89" s="15" t="s">
        <v>11</v>
      </c>
      <c r="F89" s="21"/>
      <c r="G89" s="22"/>
      <c r="H89" s="10"/>
      <c r="I89" s="10"/>
      <c r="J89" s="27"/>
      <c r="K89" s="27"/>
    </row>
    <row r="90" spans="1:11" x14ac:dyDescent="0.2">
      <c r="A90" s="10">
        <v>22359</v>
      </c>
      <c r="B90" s="11">
        <v>42804</v>
      </c>
      <c r="C90" s="12">
        <v>20</v>
      </c>
      <c r="D90" s="12">
        <v>1.52</v>
      </c>
      <c r="E90" s="15" t="s">
        <v>11</v>
      </c>
      <c r="F90" s="21"/>
      <c r="G90" s="22"/>
      <c r="H90" s="10"/>
      <c r="I90" s="10"/>
      <c r="J90" s="27"/>
      <c r="K90" s="27"/>
    </row>
    <row r="91" spans="1:11" x14ac:dyDescent="0.2">
      <c r="A91" s="10">
        <v>22360</v>
      </c>
      <c r="B91" s="11">
        <v>42804</v>
      </c>
      <c r="C91" s="12">
        <v>9.69</v>
      </c>
      <c r="D91" s="12">
        <v>0.74</v>
      </c>
      <c r="E91" s="13"/>
      <c r="F91" s="18"/>
      <c r="G91" s="19"/>
      <c r="H91" s="12"/>
      <c r="I91" s="10"/>
      <c r="J91" s="27"/>
      <c r="K91" s="27"/>
    </row>
    <row r="92" spans="1:11" x14ac:dyDescent="0.2">
      <c r="A92" s="10">
        <v>22361</v>
      </c>
      <c r="B92" s="11">
        <v>42804</v>
      </c>
      <c r="C92" s="12">
        <v>718.78</v>
      </c>
      <c r="D92" s="12">
        <v>54.78</v>
      </c>
      <c r="E92" s="13" t="s">
        <v>950</v>
      </c>
      <c r="F92" s="18"/>
      <c r="G92" s="19"/>
      <c r="H92" s="12"/>
      <c r="I92" s="10"/>
      <c r="J92" s="27"/>
      <c r="K92" s="27"/>
    </row>
    <row r="93" spans="1:11" x14ac:dyDescent="0.2">
      <c r="A93" s="10">
        <v>22362</v>
      </c>
      <c r="B93" s="11">
        <v>42804</v>
      </c>
      <c r="C93" s="12">
        <v>82.27</v>
      </c>
      <c r="D93" s="12">
        <v>6.27</v>
      </c>
      <c r="E93" s="15" t="s">
        <v>11</v>
      </c>
      <c r="I93" s="10"/>
      <c r="J93" s="27"/>
      <c r="K93" s="27"/>
    </row>
    <row r="94" spans="1:11" x14ac:dyDescent="0.2">
      <c r="A94" s="10">
        <v>22363</v>
      </c>
      <c r="B94" s="11">
        <v>42804</v>
      </c>
      <c r="C94" s="12">
        <v>0</v>
      </c>
      <c r="D94" s="12">
        <v>0</v>
      </c>
      <c r="E94" s="13" t="s">
        <v>951</v>
      </c>
      <c r="I94" s="10"/>
      <c r="J94" s="27"/>
      <c r="K94" s="27"/>
    </row>
    <row r="95" spans="1:11" x14ac:dyDescent="0.2">
      <c r="A95" s="10">
        <v>22364</v>
      </c>
      <c r="B95" s="11">
        <v>42804</v>
      </c>
      <c r="C95" s="12">
        <v>193.77</v>
      </c>
      <c r="D95" s="12">
        <v>14.77</v>
      </c>
      <c r="E95" s="15" t="s">
        <v>11</v>
      </c>
      <c r="F95" s="21"/>
      <c r="G95" s="22"/>
      <c r="H95" s="10"/>
      <c r="I95" s="10"/>
      <c r="J95" s="27"/>
      <c r="K95" s="27"/>
    </row>
    <row r="96" spans="1:11" x14ac:dyDescent="0.2">
      <c r="A96" s="10">
        <v>22365</v>
      </c>
      <c r="B96" s="11">
        <v>42804</v>
      </c>
      <c r="C96" s="12">
        <v>55.35</v>
      </c>
      <c r="D96" s="12"/>
      <c r="E96" s="15" t="s">
        <v>941</v>
      </c>
      <c r="F96" s="21"/>
      <c r="G96" s="22"/>
      <c r="H96" s="10"/>
      <c r="I96" s="10"/>
      <c r="J96" s="27"/>
      <c r="K96" s="27"/>
    </row>
    <row r="97" spans="1:11" x14ac:dyDescent="0.2">
      <c r="A97" s="10">
        <v>22366</v>
      </c>
      <c r="B97" s="11">
        <v>42804</v>
      </c>
      <c r="C97" s="12">
        <v>119.08</v>
      </c>
      <c r="D97" s="12">
        <v>9.08</v>
      </c>
      <c r="E97" s="15" t="s">
        <v>21</v>
      </c>
      <c r="F97" s="21"/>
      <c r="G97" s="22"/>
      <c r="H97" s="10"/>
      <c r="I97" s="10"/>
      <c r="J97" s="27"/>
      <c r="K97" s="27"/>
    </row>
    <row r="98" spans="1:11" x14ac:dyDescent="0.2">
      <c r="A98" s="10">
        <v>22367</v>
      </c>
      <c r="B98" s="11">
        <v>42804</v>
      </c>
      <c r="C98" s="12">
        <v>385</v>
      </c>
      <c r="D98" s="12">
        <v>29.34</v>
      </c>
      <c r="E98" s="17"/>
      <c r="I98" s="10"/>
      <c r="J98" s="27"/>
      <c r="K98" s="27"/>
    </row>
    <row r="99" spans="1:11" x14ac:dyDescent="0.2">
      <c r="A99" s="10">
        <v>22368</v>
      </c>
      <c r="B99" s="11">
        <v>42804</v>
      </c>
      <c r="C99" s="12">
        <v>2.9899999999999998</v>
      </c>
      <c r="D99" s="12">
        <v>0.23</v>
      </c>
      <c r="E99" s="17"/>
      <c r="F99" s="18"/>
      <c r="G99" s="19"/>
      <c r="H99" s="12"/>
      <c r="I99" s="10"/>
      <c r="J99" s="27"/>
      <c r="K99" s="27"/>
    </row>
    <row r="100" spans="1:11" x14ac:dyDescent="0.2">
      <c r="A100" s="10">
        <v>22369</v>
      </c>
      <c r="B100" s="11">
        <v>42804</v>
      </c>
      <c r="C100" s="12">
        <v>5</v>
      </c>
      <c r="D100" s="12">
        <v>0.38</v>
      </c>
      <c r="E100" s="17"/>
      <c r="F100" s="18"/>
      <c r="G100" s="19"/>
      <c r="H100" s="12"/>
      <c r="I100" s="10"/>
      <c r="J100" s="27"/>
      <c r="K100" s="27"/>
    </row>
    <row r="101" spans="1:11" x14ac:dyDescent="0.2">
      <c r="A101" s="10">
        <v>22370</v>
      </c>
      <c r="B101" s="11">
        <v>42804</v>
      </c>
      <c r="C101" s="12">
        <v>8.66</v>
      </c>
      <c r="D101" s="12">
        <v>0.66</v>
      </c>
      <c r="E101" s="17"/>
      <c r="F101" s="134">
        <f>+C85+C86+C87+C89+C90+C93+C95</f>
        <v>443.26</v>
      </c>
      <c r="G101" s="123">
        <f>+F101*0.97831</f>
        <v>433.64569060000002</v>
      </c>
      <c r="H101" s="253"/>
      <c r="I101" s="10"/>
      <c r="J101" s="27"/>
      <c r="K101" s="27"/>
    </row>
    <row r="102" spans="1:11" x14ac:dyDescent="0.2">
      <c r="A102" s="10">
        <v>22371</v>
      </c>
      <c r="B102" s="11">
        <v>42805</v>
      </c>
      <c r="C102" s="12">
        <v>43.62</v>
      </c>
      <c r="D102" s="12">
        <v>3.32</v>
      </c>
      <c r="E102" s="15" t="s">
        <v>11</v>
      </c>
      <c r="F102" s="21"/>
      <c r="G102" s="22"/>
      <c r="H102" s="10"/>
      <c r="I102" s="10"/>
      <c r="J102" s="27"/>
      <c r="K102" s="27"/>
    </row>
    <row r="103" spans="1:11" x14ac:dyDescent="0.2">
      <c r="A103" s="10">
        <v>22372</v>
      </c>
      <c r="B103" s="11">
        <v>42805</v>
      </c>
      <c r="C103" s="12">
        <v>13.53</v>
      </c>
      <c r="D103" s="12">
        <v>1.03</v>
      </c>
      <c r="E103" s="15" t="s">
        <v>7</v>
      </c>
      <c r="F103" s="21"/>
      <c r="G103" s="22"/>
      <c r="H103" s="10"/>
      <c r="I103" s="10"/>
      <c r="J103" s="27"/>
      <c r="K103" s="27"/>
    </row>
    <row r="104" spans="1:11" x14ac:dyDescent="0.2">
      <c r="A104" s="10">
        <v>22373</v>
      </c>
      <c r="B104" s="11">
        <v>42805</v>
      </c>
      <c r="C104" s="12">
        <v>70.36</v>
      </c>
      <c r="D104" s="12">
        <v>5.36</v>
      </c>
      <c r="E104" s="15" t="s">
        <v>21</v>
      </c>
      <c r="F104" s="21"/>
      <c r="G104" s="22"/>
      <c r="H104" s="10"/>
      <c r="I104" s="10"/>
      <c r="J104" s="27"/>
      <c r="K104" s="27"/>
    </row>
    <row r="105" spans="1:11" x14ac:dyDescent="0.2">
      <c r="A105" s="10">
        <v>22374</v>
      </c>
      <c r="B105" s="11">
        <v>42805</v>
      </c>
      <c r="C105" s="12">
        <v>1.62</v>
      </c>
      <c r="D105" s="12">
        <v>0.12</v>
      </c>
      <c r="E105" s="17"/>
      <c r="I105" s="10"/>
      <c r="J105" s="27"/>
      <c r="K105" s="27"/>
    </row>
    <row r="106" spans="1:11" x14ac:dyDescent="0.2">
      <c r="A106" s="10">
        <v>22375</v>
      </c>
      <c r="B106" s="11">
        <v>42805</v>
      </c>
      <c r="C106" s="12">
        <v>6.44</v>
      </c>
      <c r="D106" s="12">
        <v>0.49</v>
      </c>
      <c r="E106" s="15" t="s">
        <v>533</v>
      </c>
      <c r="F106" s="21"/>
      <c r="G106" s="22"/>
      <c r="H106" s="10"/>
      <c r="I106" s="10"/>
      <c r="J106" s="27"/>
      <c r="K106" s="27"/>
    </row>
    <row r="107" spans="1:11" x14ac:dyDescent="0.2">
      <c r="A107" s="10">
        <v>22376</v>
      </c>
      <c r="B107" s="11">
        <v>42805</v>
      </c>
      <c r="C107" s="12">
        <v>7.58</v>
      </c>
      <c r="D107" s="12">
        <v>0.57999999999999996</v>
      </c>
      <c r="E107" s="17"/>
      <c r="I107" s="10"/>
      <c r="J107" s="27"/>
      <c r="K107" s="27"/>
    </row>
    <row r="108" spans="1:11" x14ac:dyDescent="0.2">
      <c r="A108" s="10">
        <v>22377</v>
      </c>
      <c r="B108" s="11">
        <v>42805</v>
      </c>
      <c r="C108" s="12">
        <v>327.78000000000003</v>
      </c>
      <c r="D108" s="12">
        <v>24.98</v>
      </c>
      <c r="E108" s="15" t="s">
        <v>533</v>
      </c>
      <c r="F108" s="21"/>
      <c r="G108" s="22"/>
      <c r="H108" s="10"/>
      <c r="I108" s="10"/>
      <c r="J108" s="27"/>
      <c r="K108" s="27"/>
    </row>
    <row r="109" spans="1:11" x14ac:dyDescent="0.2">
      <c r="A109" s="10">
        <v>22378</v>
      </c>
      <c r="B109" s="11">
        <v>42805</v>
      </c>
      <c r="C109" s="12">
        <v>90.93</v>
      </c>
      <c r="D109" s="12">
        <v>6.93</v>
      </c>
      <c r="E109" s="17"/>
      <c r="I109" s="10"/>
      <c r="J109" s="27"/>
      <c r="K109" s="27"/>
    </row>
    <row r="110" spans="1:11" x14ac:dyDescent="0.2">
      <c r="A110" s="10">
        <v>22379</v>
      </c>
      <c r="B110" s="11">
        <v>42805</v>
      </c>
      <c r="C110" s="12">
        <v>62.79</v>
      </c>
      <c r="D110" s="12">
        <v>4.79</v>
      </c>
      <c r="E110" s="17"/>
      <c r="I110" s="10"/>
      <c r="J110" s="27"/>
      <c r="K110" s="27"/>
    </row>
    <row r="111" spans="1:11" x14ac:dyDescent="0.2">
      <c r="A111" s="10">
        <v>22380</v>
      </c>
      <c r="B111" s="11">
        <v>42805</v>
      </c>
      <c r="C111" s="12">
        <v>639.27</v>
      </c>
      <c r="D111" s="12">
        <v>48.72</v>
      </c>
      <c r="E111" s="15" t="s">
        <v>11</v>
      </c>
      <c r="F111" s="134">
        <f>+C102+C103+C111</f>
        <v>696.42</v>
      </c>
      <c r="G111" s="123">
        <f>+F111*0.97831</f>
        <v>681.31465019999996</v>
      </c>
      <c r="H111" s="253" t="s">
        <v>952</v>
      </c>
      <c r="I111" s="10"/>
      <c r="J111" s="27"/>
      <c r="K111" s="27"/>
    </row>
    <row r="112" spans="1:11" x14ac:dyDescent="0.2">
      <c r="A112" s="10">
        <v>22381</v>
      </c>
      <c r="B112" s="11">
        <v>42807</v>
      </c>
      <c r="C112" s="12">
        <v>21.65</v>
      </c>
      <c r="D112" s="12">
        <v>1.65</v>
      </c>
      <c r="E112" s="15" t="s">
        <v>7</v>
      </c>
      <c r="F112" s="21"/>
      <c r="G112" s="22"/>
      <c r="H112" s="10"/>
      <c r="I112" s="10"/>
      <c r="J112" s="27"/>
      <c r="K112" s="27"/>
    </row>
    <row r="113" spans="1:11" x14ac:dyDescent="0.2">
      <c r="A113" s="10">
        <v>22382</v>
      </c>
      <c r="B113" s="11">
        <v>42807</v>
      </c>
      <c r="C113" s="12">
        <v>189.44</v>
      </c>
      <c r="D113" s="12">
        <v>14.44</v>
      </c>
      <c r="E113" s="13" t="s">
        <v>953</v>
      </c>
      <c r="F113" s="18"/>
      <c r="G113" s="19"/>
      <c r="H113" s="12"/>
      <c r="I113" s="10"/>
      <c r="J113" s="27"/>
      <c r="K113" s="27"/>
    </row>
    <row r="114" spans="1:11" x14ac:dyDescent="0.2">
      <c r="A114" s="10">
        <v>22383</v>
      </c>
      <c r="B114" s="11">
        <v>42807</v>
      </c>
      <c r="C114" s="12">
        <v>107.71000000000001</v>
      </c>
      <c r="D114" s="12">
        <v>8.2100000000000009</v>
      </c>
      <c r="E114" s="15" t="s">
        <v>21</v>
      </c>
      <c r="I114" s="10"/>
      <c r="J114" s="27"/>
      <c r="K114" s="27"/>
    </row>
    <row r="115" spans="1:11" x14ac:dyDescent="0.2">
      <c r="A115" s="10">
        <v>22384</v>
      </c>
      <c r="B115" s="11">
        <v>42807</v>
      </c>
      <c r="C115" s="12">
        <v>86.06</v>
      </c>
      <c r="D115" s="12">
        <v>6.56</v>
      </c>
      <c r="E115" s="15" t="s">
        <v>21</v>
      </c>
      <c r="I115" s="10"/>
      <c r="J115" s="27"/>
      <c r="K115" s="27"/>
    </row>
    <row r="116" spans="1:11" x14ac:dyDescent="0.2">
      <c r="A116" s="10">
        <v>22385</v>
      </c>
      <c r="B116" s="11">
        <v>42807</v>
      </c>
      <c r="C116" s="12">
        <v>25.98</v>
      </c>
      <c r="D116" s="12">
        <v>1.98</v>
      </c>
      <c r="E116" s="15" t="s">
        <v>21</v>
      </c>
      <c r="F116" s="21"/>
      <c r="G116" s="22"/>
      <c r="H116" s="10"/>
      <c r="I116" s="10"/>
      <c r="J116" s="27"/>
      <c r="K116" s="27"/>
    </row>
    <row r="117" spans="1:11" x14ac:dyDescent="0.2">
      <c r="A117" s="10">
        <v>22386</v>
      </c>
      <c r="B117" s="11">
        <v>42807</v>
      </c>
      <c r="C117" s="12">
        <v>186.73</v>
      </c>
      <c r="D117" s="12">
        <v>14.23</v>
      </c>
      <c r="E117" s="15" t="s">
        <v>21</v>
      </c>
      <c r="F117" s="21"/>
      <c r="G117" s="22"/>
      <c r="H117" s="10"/>
      <c r="I117" s="10"/>
      <c r="J117" s="27"/>
      <c r="K117" s="27"/>
    </row>
    <row r="118" spans="1:11" x14ac:dyDescent="0.2">
      <c r="A118" s="10">
        <v>22387</v>
      </c>
      <c r="B118" s="11">
        <v>42807</v>
      </c>
      <c r="C118" s="12">
        <v>43.3</v>
      </c>
      <c r="D118" s="12">
        <v>3.3</v>
      </c>
      <c r="E118" s="15" t="s">
        <v>11</v>
      </c>
      <c r="I118" s="10"/>
      <c r="J118" s="27"/>
      <c r="K118" s="27"/>
    </row>
    <row r="119" spans="1:11" x14ac:dyDescent="0.2">
      <c r="A119" s="10">
        <v>22388</v>
      </c>
      <c r="B119" s="11">
        <v>42807</v>
      </c>
      <c r="C119" s="12">
        <v>474.14</v>
      </c>
      <c r="D119" s="12">
        <v>36.14</v>
      </c>
      <c r="E119" s="15" t="s">
        <v>954</v>
      </c>
      <c r="F119" s="21"/>
      <c r="G119" s="22"/>
      <c r="H119" s="10"/>
      <c r="I119" s="10"/>
      <c r="J119" s="27"/>
      <c r="K119" s="27"/>
    </row>
    <row r="120" spans="1:11" x14ac:dyDescent="0.2">
      <c r="A120" s="10">
        <v>22389</v>
      </c>
      <c r="B120" s="11">
        <v>42807</v>
      </c>
      <c r="C120" s="12">
        <v>126</v>
      </c>
      <c r="D120" s="12"/>
      <c r="E120" s="15" t="s">
        <v>9</v>
      </c>
      <c r="F120" s="21"/>
      <c r="G120" s="22"/>
      <c r="H120" s="10"/>
      <c r="I120" s="10"/>
      <c r="J120" s="27"/>
      <c r="K120" s="27"/>
    </row>
    <row r="121" spans="1:11" x14ac:dyDescent="0.2">
      <c r="A121" s="10">
        <v>22390</v>
      </c>
      <c r="B121" s="11">
        <v>42807</v>
      </c>
      <c r="C121" s="12">
        <v>8</v>
      </c>
      <c r="D121" s="12"/>
      <c r="E121" s="15" t="s">
        <v>9</v>
      </c>
      <c r="I121" s="10"/>
      <c r="J121" s="27"/>
      <c r="K121" s="27"/>
    </row>
    <row r="122" spans="1:11" x14ac:dyDescent="0.2">
      <c r="A122" s="10">
        <v>22391</v>
      </c>
      <c r="B122" s="11">
        <v>42807</v>
      </c>
      <c r="C122" s="12">
        <v>11.85</v>
      </c>
      <c r="D122" s="12">
        <v>0.9</v>
      </c>
      <c r="E122" s="17"/>
      <c r="F122" s="18"/>
      <c r="G122" s="19"/>
      <c r="H122" s="12"/>
      <c r="I122" s="10"/>
      <c r="J122" s="27"/>
      <c r="K122" s="27"/>
    </row>
    <row r="123" spans="1:11" x14ac:dyDescent="0.2">
      <c r="A123" s="10">
        <v>22392</v>
      </c>
      <c r="B123" s="11">
        <v>42807</v>
      </c>
      <c r="C123" s="12">
        <v>16.239999999999998</v>
      </c>
      <c r="D123" s="12">
        <v>1.24</v>
      </c>
      <c r="E123" s="17"/>
      <c r="F123" s="134">
        <f>124+C112+C118+300+C120+C121</f>
        <v>622.95000000000005</v>
      </c>
      <c r="G123" s="123">
        <f>+F123*0.97831</f>
        <v>609.43821450000007</v>
      </c>
      <c r="H123" s="253"/>
      <c r="I123" s="10"/>
      <c r="J123" s="27"/>
      <c r="K123" s="27"/>
    </row>
    <row r="124" spans="1:11" x14ac:dyDescent="0.2">
      <c r="A124" s="10">
        <v>22393</v>
      </c>
      <c r="B124" s="11">
        <v>42808</v>
      </c>
      <c r="C124" s="12">
        <v>200.8</v>
      </c>
      <c r="D124" s="12">
        <v>15.3</v>
      </c>
      <c r="E124" s="15" t="s">
        <v>11</v>
      </c>
      <c r="I124" s="10"/>
      <c r="J124" s="27"/>
      <c r="K124" s="27"/>
    </row>
    <row r="125" spans="1:11" x14ac:dyDescent="0.2">
      <c r="A125" s="10">
        <v>22394</v>
      </c>
      <c r="B125" s="11">
        <v>42808</v>
      </c>
      <c r="C125" s="12">
        <v>270.63</v>
      </c>
      <c r="D125" s="12">
        <v>20.63</v>
      </c>
      <c r="E125" s="15" t="s">
        <v>955</v>
      </c>
      <c r="F125" s="21"/>
      <c r="G125" s="22"/>
      <c r="H125" s="10"/>
      <c r="I125" s="10"/>
      <c r="J125" s="27"/>
      <c r="K125" s="27"/>
    </row>
    <row r="126" spans="1:11" x14ac:dyDescent="0.2">
      <c r="A126" s="10">
        <v>22395</v>
      </c>
      <c r="B126" s="11">
        <v>42808</v>
      </c>
      <c r="C126" s="12">
        <v>100</v>
      </c>
      <c r="D126" s="12">
        <v>4.95</v>
      </c>
      <c r="E126" s="15" t="s">
        <v>850</v>
      </c>
      <c r="F126" s="21"/>
      <c r="G126" s="22"/>
      <c r="H126" s="10"/>
      <c r="I126" s="10"/>
      <c r="J126" s="27"/>
      <c r="K126" s="27"/>
    </row>
    <row r="127" spans="1:11" x14ac:dyDescent="0.2">
      <c r="A127" s="10">
        <v>22396</v>
      </c>
      <c r="B127" s="11">
        <v>42808</v>
      </c>
      <c r="C127" s="12">
        <v>398.9</v>
      </c>
      <c r="D127" s="12">
        <v>30.4</v>
      </c>
      <c r="E127" s="15" t="s">
        <v>11</v>
      </c>
      <c r="F127" s="115"/>
      <c r="G127" s="115"/>
      <c r="I127" s="10"/>
      <c r="J127" s="27"/>
      <c r="K127" s="27"/>
    </row>
    <row r="128" spans="1:11" x14ac:dyDescent="0.2">
      <c r="A128" s="10">
        <v>22397</v>
      </c>
      <c r="B128" s="11">
        <v>42808</v>
      </c>
      <c r="C128" s="12">
        <v>405</v>
      </c>
      <c r="D128" s="12">
        <v>30.87</v>
      </c>
      <c r="E128" s="17"/>
      <c r="I128" s="10"/>
      <c r="J128" s="27"/>
      <c r="K128" s="27"/>
    </row>
    <row r="129" spans="1:11" x14ac:dyDescent="0.2">
      <c r="A129" s="10">
        <v>22398</v>
      </c>
      <c r="B129" s="11">
        <v>42808</v>
      </c>
      <c r="C129" s="12">
        <v>74.150000000000006</v>
      </c>
      <c r="D129" s="12">
        <v>5.65</v>
      </c>
      <c r="E129" s="17"/>
      <c r="F129" s="18"/>
      <c r="G129" s="19"/>
      <c r="H129" s="12"/>
      <c r="I129" s="10"/>
      <c r="J129" s="27"/>
      <c r="K129" s="27"/>
    </row>
    <row r="130" spans="1:11" x14ac:dyDescent="0.2">
      <c r="A130" s="10">
        <v>22399</v>
      </c>
      <c r="B130" s="11">
        <v>42808</v>
      </c>
      <c r="C130" s="12">
        <v>96.34</v>
      </c>
      <c r="D130" s="12">
        <v>7.34</v>
      </c>
      <c r="E130" s="17"/>
      <c r="F130" s="18"/>
      <c r="G130" s="19"/>
      <c r="H130" s="12"/>
      <c r="I130" s="10"/>
      <c r="J130" s="27"/>
      <c r="K130" s="27"/>
    </row>
    <row r="131" spans="1:11" x14ac:dyDescent="0.2">
      <c r="A131" s="10">
        <v>22400</v>
      </c>
      <c r="B131" s="11">
        <v>42808</v>
      </c>
      <c r="C131" s="12">
        <v>46.3</v>
      </c>
      <c r="D131" s="12">
        <v>3.3</v>
      </c>
      <c r="E131" s="15" t="s">
        <v>11</v>
      </c>
      <c r="F131" s="21"/>
      <c r="G131" s="22"/>
      <c r="H131" s="10"/>
      <c r="I131" s="10"/>
      <c r="J131" s="27"/>
      <c r="K131" s="27"/>
    </row>
    <row r="132" spans="1:11" x14ac:dyDescent="0.2">
      <c r="A132" s="10">
        <v>22401</v>
      </c>
      <c r="B132" s="11">
        <v>42808</v>
      </c>
      <c r="C132" s="12">
        <v>53.04</v>
      </c>
      <c r="D132" s="12">
        <v>4.04</v>
      </c>
      <c r="E132" s="15" t="s">
        <v>11</v>
      </c>
      <c r="I132" s="10"/>
      <c r="J132" s="27"/>
      <c r="K132" s="27"/>
    </row>
    <row r="133" spans="1:11" x14ac:dyDescent="0.2">
      <c r="A133" s="10">
        <v>22402</v>
      </c>
      <c r="B133" s="11">
        <v>42808</v>
      </c>
      <c r="C133" s="12">
        <v>10</v>
      </c>
      <c r="D133" s="12">
        <v>0.76</v>
      </c>
      <c r="E133" s="17"/>
      <c r="F133" s="134">
        <f>+C124+108.92+C126+C127+C131+C132</f>
        <v>907.95999999999992</v>
      </c>
      <c r="G133" s="123">
        <f>+F133*0.97831</f>
        <v>888.2663475999999</v>
      </c>
      <c r="H133" s="253"/>
      <c r="I133" s="10"/>
      <c r="J133" s="27"/>
      <c r="K133" s="27"/>
    </row>
    <row r="134" spans="1:11" x14ac:dyDescent="0.2">
      <c r="A134" s="10">
        <v>22403</v>
      </c>
      <c r="B134" s="11">
        <v>42809</v>
      </c>
      <c r="C134" s="12">
        <v>206.76</v>
      </c>
      <c r="D134" s="12">
        <v>15.76</v>
      </c>
      <c r="E134" s="15" t="s">
        <v>21</v>
      </c>
      <c r="I134" s="10"/>
      <c r="J134" s="27"/>
      <c r="K134" s="27"/>
    </row>
    <row r="135" spans="1:11" x14ac:dyDescent="0.2">
      <c r="A135" s="10">
        <v>22404</v>
      </c>
      <c r="B135" s="11">
        <v>42809</v>
      </c>
      <c r="C135" s="12">
        <v>273.33</v>
      </c>
      <c r="D135" s="12">
        <v>20.83</v>
      </c>
      <c r="E135" s="17"/>
      <c r="F135" s="18"/>
      <c r="G135" s="19"/>
      <c r="H135" s="12"/>
      <c r="I135" s="10"/>
      <c r="J135" s="27"/>
      <c r="K135" s="27"/>
    </row>
    <row r="136" spans="1:11" x14ac:dyDescent="0.2">
      <c r="A136" s="10">
        <v>22405</v>
      </c>
      <c r="B136" s="11">
        <v>42809</v>
      </c>
      <c r="C136" s="12">
        <v>117.99</v>
      </c>
      <c r="D136" s="12">
        <v>8.99</v>
      </c>
      <c r="E136" s="15" t="s">
        <v>7</v>
      </c>
      <c r="F136" s="21"/>
      <c r="G136" s="22"/>
      <c r="H136" s="10"/>
      <c r="I136" s="10"/>
      <c r="J136" s="27"/>
      <c r="K136" s="27"/>
    </row>
    <row r="137" spans="1:11" x14ac:dyDescent="0.2">
      <c r="A137" s="10">
        <v>22406</v>
      </c>
      <c r="B137" s="11">
        <v>42809</v>
      </c>
      <c r="C137" s="12">
        <v>285.24</v>
      </c>
      <c r="D137" s="12">
        <v>21.74</v>
      </c>
      <c r="E137" s="15" t="s">
        <v>21</v>
      </c>
      <c r="I137" s="10"/>
      <c r="J137" s="27"/>
      <c r="K137" s="27"/>
    </row>
    <row r="138" spans="1:11" x14ac:dyDescent="0.2">
      <c r="A138" s="10">
        <v>22407</v>
      </c>
      <c r="B138" s="11">
        <v>42809</v>
      </c>
      <c r="C138" s="12">
        <v>276.58</v>
      </c>
      <c r="D138" s="12">
        <v>21.08</v>
      </c>
      <c r="E138" s="13" t="s">
        <v>956</v>
      </c>
      <c r="I138" s="10"/>
      <c r="J138" s="27"/>
      <c r="K138" s="27"/>
    </row>
    <row r="139" spans="1:11" x14ac:dyDescent="0.2">
      <c r="A139" s="10">
        <v>22408</v>
      </c>
      <c r="B139" s="11">
        <v>42809</v>
      </c>
      <c r="C139" s="12">
        <v>154.80000000000001</v>
      </c>
      <c r="D139" s="12">
        <v>11.8</v>
      </c>
      <c r="E139" s="17"/>
      <c r="F139" s="18"/>
      <c r="G139" s="19"/>
      <c r="H139" s="12"/>
      <c r="I139" s="10"/>
      <c r="J139" s="27"/>
      <c r="K139" s="27"/>
    </row>
    <row r="140" spans="1:11" x14ac:dyDescent="0.2">
      <c r="A140" s="10">
        <v>22409</v>
      </c>
      <c r="B140" s="11">
        <v>42809</v>
      </c>
      <c r="C140" s="12">
        <v>385</v>
      </c>
      <c r="D140" s="12">
        <v>29.34</v>
      </c>
      <c r="E140" s="17"/>
      <c r="F140" s="18"/>
      <c r="G140" s="19"/>
      <c r="H140" s="12"/>
      <c r="I140" s="10"/>
      <c r="J140" s="27"/>
      <c r="K140" s="27"/>
    </row>
    <row r="141" spans="1:11" x14ac:dyDescent="0.2">
      <c r="A141" s="10">
        <v>22410</v>
      </c>
      <c r="B141" s="11">
        <v>42809</v>
      </c>
      <c r="C141" s="12">
        <v>385</v>
      </c>
      <c r="D141" s="12">
        <v>29.34</v>
      </c>
      <c r="E141" s="15" t="s">
        <v>21</v>
      </c>
      <c r="F141" s="21"/>
      <c r="G141" s="22"/>
      <c r="H141" s="10"/>
      <c r="I141" s="10"/>
      <c r="J141" s="27"/>
      <c r="K141" s="27"/>
    </row>
    <row r="142" spans="1:11" x14ac:dyDescent="0.2">
      <c r="A142" s="10">
        <v>22411</v>
      </c>
      <c r="B142" s="11">
        <v>42809</v>
      </c>
      <c r="C142" s="12">
        <v>13.78</v>
      </c>
      <c r="D142" s="12"/>
      <c r="E142" s="13"/>
      <c r="F142" s="18"/>
      <c r="G142" s="19"/>
      <c r="H142" s="12"/>
      <c r="I142" s="10"/>
      <c r="J142" s="27"/>
      <c r="K142" s="27"/>
    </row>
    <row r="143" spans="1:11" x14ac:dyDescent="0.2">
      <c r="A143" s="10">
        <v>22412</v>
      </c>
      <c r="B143" s="11">
        <v>42809</v>
      </c>
      <c r="C143" s="12">
        <v>64.84</v>
      </c>
      <c r="D143" s="12">
        <v>4.9400000000000004</v>
      </c>
      <c r="E143" s="13"/>
      <c r="F143" s="18"/>
      <c r="G143" s="19"/>
      <c r="H143" s="12"/>
      <c r="I143" s="10"/>
      <c r="J143" s="27"/>
      <c r="K143" s="27"/>
    </row>
    <row r="144" spans="1:11" x14ac:dyDescent="0.2">
      <c r="A144" s="10">
        <v>22413</v>
      </c>
      <c r="B144" s="11">
        <v>42809</v>
      </c>
      <c r="C144" s="12">
        <v>22</v>
      </c>
      <c r="D144" s="12"/>
      <c r="E144" s="15" t="s">
        <v>21</v>
      </c>
      <c r="F144" s="21"/>
      <c r="G144" s="22"/>
      <c r="H144" s="10"/>
      <c r="I144" s="10"/>
      <c r="J144" s="27"/>
      <c r="K144" s="27"/>
    </row>
    <row r="145" spans="1:11" x14ac:dyDescent="0.2">
      <c r="A145" s="10">
        <v>22414</v>
      </c>
      <c r="B145" s="11">
        <v>42809</v>
      </c>
      <c r="C145" s="12">
        <v>48.71</v>
      </c>
      <c r="D145" s="12">
        <v>3.71</v>
      </c>
      <c r="E145" s="13"/>
      <c r="I145" s="10"/>
      <c r="J145" s="27"/>
      <c r="K145" s="27"/>
    </row>
    <row r="146" spans="1:11" x14ac:dyDescent="0.2">
      <c r="A146" s="10">
        <v>22415</v>
      </c>
      <c r="B146" s="11">
        <v>42809</v>
      </c>
      <c r="C146" s="12">
        <v>25.869999999999997</v>
      </c>
      <c r="D146" s="12">
        <v>1.97</v>
      </c>
      <c r="E146" s="17"/>
      <c r="F146" s="18"/>
      <c r="G146" s="19"/>
      <c r="H146" s="12"/>
      <c r="I146" s="10"/>
      <c r="J146" s="27"/>
      <c r="K146" s="27"/>
    </row>
    <row r="147" spans="1:11" x14ac:dyDescent="0.2">
      <c r="A147" s="10">
        <v>22416</v>
      </c>
      <c r="B147" s="11">
        <v>42809</v>
      </c>
      <c r="C147" s="12">
        <v>74.69</v>
      </c>
      <c r="D147" s="12">
        <v>5.69</v>
      </c>
      <c r="E147" s="15" t="s">
        <v>11</v>
      </c>
      <c r="I147" s="10"/>
      <c r="J147" s="27"/>
      <c r="K147" s="27"/>
    </row>
    <row r="148" spans="1:11" x14ac:dyDescent="0.2">
      <c r="A148" s="10">
        <v>22417</v>
      </c>
      <c r="B148" s="11">
        <v>42809</v>
      </c>
      <c r="C148" s="12">
        <v>15.870000000000001</v>
      </c>
      <c r="D148" s="12"/>
      <c r="E148" s="13" t="s">
        <v>8</v>
      </c>
      <c r="F148" s="134">
        <f>70.36+C136+C116+270+C147</f>
        <v>559.02</v>
      </c>
      <c r="G148" s="123">
        <f>+F148*0.97831</f>
        <v>546.89485619999994</v>
      </c>
      <c r="H148" s="253"/>
      <c r="I148" s="10"/>
      <c r="J148" s="27"/>
      <c r="K148" s="27"/>
    </row>
    <row r="149" spans="1:11" x14ac:dyDescent="0.2">
      <c r="A149" s="10">
        <v>22418</v>
      </c>
      <c r="B149" s="11">
        <v>42810</v>
      </c>
      <c r="C149" s="185">
        <v>70.36</v>
      </c>
      <c r="D149" s="12">
        <v>5.36</v>
      </c>
      <c r="E149" s="15" t="s">
        <v>7</v>
      </c>
      <c r="I149" s="10"/>
      <c r="J149" s="27"/>
      <c r="K149" s="27"/>
    </row>
    <row r="150" spans="1:11" x14ac:dyDescent="0.2">
      <c r="A150" s="10">
        <v>22419</v>
      </c>
      <c r="B150" s="11">
        <v>42810</v>
      </c>
      <c r="C150" s="185">
        <v>178.07</v>
      </c>
      <c r="D150" s="12">
        <v>13.57</v>
      </c>
      <c r="E150" s="15"/>
      <c r="F150" s="21"/>
      <c r="G150" s="22"/>
      <c r="H150" s="10"/>
      <c r="I150" s="10"/>
      <c r="J150" s="27"/>
      <c r="K150" s="27"/>
    </row>
    <row r="151" spans="1:11" x14ac:dyDescent="0.2">
      <c r="A151" s="10">
        <v>22420</v>
      </c>
      <c r="B151" s="11">
        <v>42810</v>
      </c>
      <c r="C151" s="185">
        <v>63.81</v>
      </c>
      <c r="D151" s="12">
        <v>4.8600000000000003</v>
      </c>
      <c r="E151" s="17"/>
      <c r="I151" s="10"/>
      <c r="J151" s="27"/>
      <c r="K151" s="27"/>
    </row>
    <row r="152" spans="1:11" x14ac:dyDescent="0.2">
      <c r="A152" s="10">
        <v>22421</v>
      </c>
      <c r="B152" s="11">
        <v>42810</v>
      </c>
      <c r="C152" s="185">
        <v>90</v>
      </c>
      <c r="D152" s="12"/>
      <c r="E152" s="15" t="s">
        <v>957</v>
      </c>
      <c r="F152" s="21"/>
      <c r="G152" s="22"/>
      <c r="H152" s="10"/>
      <c r="I152" s="10"/>
      <c r="J152" s="27"/>
      <c r="K152" s="27"/>
    </row>
    <row r="153" spans="1:11" x14ac:dyDescent="0.2">
      <c r="A153" s="10">
        <v>22422</v>
      </c>
      <c r="B153" s="11">
        <v>42810</v>
      </c>
      <c r="C153" s="185">
        <v>7.5200000000000005</v>
      </c>
      <c r="D153" s="12">
        <v>0.56999999999999995</v>
      </c>
      <c r="E153" s="15" t="s">
        <v>477</v>
      </c>
      <c r="I153" s="10"/>
      <c r="J153" s="27"/>
      <c r="K153" s="27"/>
    </row>
    <row r="154" spans="1:11" x14ac:dyDescent="0.2">
      <c r="A154" s="10">
        <v>22423</v>
      </c>
      <c r="B154" s="11">
        <v>42810</v>
      </c>
      <c r="C154" s="185">
        <v>115</v>
      </c>
      <c r="D154" s="12"/>
      <c r="E154" s="15" t="s">
        <v>9</v>
      </c>
      <c r="I154" s="10"/>
      <c r="J154" s="27"/>
      <c r="K154" s="27"/>
    </row>
    <row r="155" spans="1:11" x14ac:dyDescent="0.2">
      <c r="A155" s="10">
        <v>22424</v>
      </c>
      <c r="B155" s="11">
        <v>42810</v>
      </c>
      <c r="C155" s="185">
        <v>217.04</v>
      </c>
      <c r="D155" s="12">
        <v>16.54</v>
      </c>
      <c r="E155" s="15" t="s">
        <v>11</v>
      </c>
      <c r="F155" s="21"/>
      <c r="G155" s="22"/>
      <c r="H155" s="10"/>
      <c r="I155" s="10"/>
      <c r="J155" s="27"/>
      <c r="K155" s="27"/>
    </row>
    <row r="156" spans="1:11" x14ac:dyDescent="0.2">
      <c r="A156" s="10">
        <v>22425</v>
      </c>
      <c r="B156" s="11">
        <v>42810</v>
      </c>
      <c r="C156" s="185">
        <v>11.58</v>
      </c>
      <c r="D156" s="12"/>
      <c r="E156" s="15" t="s">
        <v>11</v>
      </c>
      <c r="F156" s="21"/>
      <c r="G156" s="22"/>
      <c r="H156" s="10"/>
      <c r="I156" s="10"/>
      <c r="J156" s="27"/>
      <c r="K156" s="27"/>
    </row>
    <row r="157" spans="1:11" x14ac:dyDescent="0.2">
      <c r="A157" s="10">
        <v>22426</v>
      </c>
      <c r="B157" s="11">
        <v>42810</v>
      </c>
      <c r="C157" s="185">
        <v>16.18</v>
      </c>
      <c r="D157" s="12">
        <v>1.23</v>
      </c>
      <c r="E157" s="15" t="s">
        <v>7</v>
      </c>
      <c r="F157" s="21"/>
      <c r="G157" s="22"/>
      <c r="H157" s="10"/>
      <c r="I157" s="10"/>
      <c r="J157" s="27"/>
      <c r="K157" s="27"/>
    </row>
    <row r="158" spans="1:11" x14ac:dyDescent="0.2">
      <c r="A158" s="10">
        <v>22427</v>
      </c>
      <c r="B158" s="11">
        <v>42810</v>
      </c>
      <c r="C158" s="185">
        <v>555.32000000000005</v>
      </c>
      <c r="D158" s="12">
        <v>42.32</v>
      </c>
      <c r="E158" s="13"/>
      <c r="F158" s="18"/>
      <c r="G158" s="19"/>
      <c r="H158" s="12"/>
      <c r="I158" s="10"/>
      <c r="J158" s="27"/>
      <c r="K158" s="27"/>
    </row>
    <row r="159" spans="1:11" x14ac:dyDescent="0.2">
      <c r="A159" s="10">
        <v>22428</v>
      </c>
      <c r="B159" s="11">
        <v>42810</v>
      </c>
      <c r="C159" s="185">
        <v>95.210000000000008</v>
      </c>
      <c r="D159" s="12">
        <v>7.26</v>
      </c>
      <c r="E159" s="15" t="s">
        <v>11</v>
      </c>
      <c r="I159" s="10"/>
      <c r="J159" s="27"/>
      <c r="K159" s="27"/>
    </row>
    <row r="160" spans="1:11" x14ac:dyDescent="0.2">
      <c r="A160" s="10">
        <v>22429</v>
      </c>
      <c r="B160" s="11">
        <v>42810</v>
      </c>
      <c r="C160" s="185">
        <v>5</v>
      </c>
      <c r="D160" s="12">
        <v>0.38</v>
      </c>
      <c r="E160" s="17"/>
      <c r="I160" s="12">
        <f>+C200+C201</f>
        <v>58.599999999999994</v>
      </c>
      <c r="J160" s="27"/>
      <c r="K160" s="27"/>
    </row>
    <row r="161" spans="1:11" x14ac:dyDescent="0.2">
      <c r="A161" s="10">
        <v>22430</v>
      </c>
      <c r="B161" s="11">
        <v>42810</v>
      </c>
      <c r="C161" s="185">
        <v>32.26</v>
      </c>
      <c r="D161" s="12">
        <v>2.46</v>
      </c>
      <c r="E161" s="17"/>
      <c r="F161" s="18"/>
      <c r="G161" s="19"/>
      <c r="H161" s="12"/>
      <c r="I161" s="10"/>
      <c r="J161" s="27"/>
      <c r="K161" s="27"/>
    </row>
    <row r="162" spans="1:11" x14ac:dyDescent="0.2">
      <c r="A162" s="10">
        <v>22431</v>
      </c>
      <c r="B162" s="11">
        <v>42810</v>
      </c>
      <c r="C162" s="12">
        <v>136</v>
      </c>
      <c r="D162" s="12">
        <v>10.37</v>
      </c>
      <c r="E162" s="17"/>
      <c r="F162" s="18"/>
      <c r="G162" s="19"/>
      <c r="H162" s="12"/>
      <c r="I162" s="10"/>
      <c r="J162" s="27"/>
      <c r="K162" s="27"/>
    </row>
    <row r="163" spans="1:11" x14ac:dyDescent="0.2">
      <c r="A163" s="10">
        <v>22432</v>
      </c>
      <c r="B163" s="11">
        <v>42810</v>
      </c>
      <c r="C163" s="12">
        <v>124</v>
      </c>
      <c r="D163" s="12">
        <v>9.4499999999999993</v>
      </c>
      <c r="E163" s="17"/>
      <c r="F163" s="134">
        <f>186.73+C153+C154+C155+C156+C157+C159</f>
        <v>649.26</v>
      </c>
      <c r="G163" s="123">
        <f>+F163*0.97831</f>
        <v>635.17755060000002</v>
      </c>
      <c r="H163" s="253"/>
      <c r="I163" s="10"/>
      <c r="J163" s="27"/>
      <c r="K163" s="27"/>
    </row>
    <row r="164" spans="1:11" x14ac:dyDescent="0.2">
      <c r="A164" s="10">
        <v>22433</v>
      </c>
      <c r="B164" s="11">
        <v>42811</v>
      </c>
      <c r="C164" s="12">
        <v>2.44</v>
      </c>
      <c r="D164" s="12">
        <v>0.19</v>
      </c>
      <c r="E164" s="15" t="s">
        <v>11</v>
      </c>
      <c r="F164" s="21"/>
      <c r="G164" s="22"/>
      <c r="H164" s="10"/>
      <c r="I164" s="10"/>
      <c r="J164" s="27"/>
      <c r="K164" s="27"/>
    </row>
    <row r="165" spans="1:11" x14ac:dyDescent="0.2">
      <c r="A165" s="10">
        <v>22434</v>
      </c>
      <c r="B165" s="11">
        <v>42811</v>
      </c>
      <c r="C165" s="12">
        <v>129.9</v>
      </c>
      <c r="D165" s="12">
        <v>9.9</v>
      </c>
      <c r="E165" s="15" t="s">
        <v>11</v>
      </c>
      <c r="F165" s="21"/>
      <c r="G165" s="22"/>
      <c r="H165" s="10"/>
      <c r="I165" s="10"/>
      <c r="J165" s="27"/>
      <c r="K165" s="27"/>
    </row>
    <row r="166" spans="1:11" x14ac:dyDescent="0.2">
      <c r="A166" s="10">
        <v>22435</v>
      </c>
      <c r="B166" s="11">
        <v>42811</v>
      </c>
      <c r="C166" s="12">
        <v>69.28</v>
      </c>
      <c r="D166" s="12">
        <v>5.28</v>
      </c>
      <c r="E166" s="15" t="s">
        <v>11</v>
      </c>
      <c r="F166" s="21"/>
      <c r="G166" s="22"/>
      <c r="H166" s="10"/>
      <c r="I166" s="10"/>
      <c r="J166" s="27"/>
      <c r="K166" s="27"/>
    </row>
    <row r="167" spans="1:11" x14ac:dyDescent="0.2">
      <c r="A167" s="10">
        <v>22436</v>
      </c>
      <c r="B167" s="11">
        <v>42811</v>
      </c>
      <c r="C167" s="12">
        <v>153.72</v>
      </c>
      <c r="D167" s="12">
        <v>11.72</v>
      </c>
      <c r="E167" s="17"/>
      <c r="I167" s="10"/>
      <c r="J167" s="27"/>
      <c r="K167" s="27"/>
    </row>
    <row r="168" spans="1:11" x14ac:dyDescent="0.2">
      <c r="A168" s="10">
        <v>22437</v>
      </c>
      <c r="B168" s="11">
        <v>42811</v>
      </c>
      <c r="C168" s="12">
        <v>552.72</v>
      </c>
      <c r="D168" s="12">
        <v>42.12</v>
      </c>
      <c r="E168" s="15" t="s">
        <v>21</v>
      </c>
      <c r="F168" s="21"/>
      <c r="G168" s="22"/>
      <c r="H168" s="10"/>
      <c r="I168" s="10"/>
      <c r="J168" s="27"/>
      <c r="K168" s="27"/>
    </row>
    <row r="169" spans="1:11" x14ac:dyDescent="0.2">
      <c r="A169" s="10">
        <v>22438</v>
      </c>
      <c r="B169" s="11">
        <v>42811</v>
      </c>
      <c r="C169" s="12">
        <v>26.7</v>
      </c>
      <c r="D169" s="12"/>
      <c r="E169" s="15" t="s">
        <v>958</v>
      </c>
      <c r="F169" s="21"/>
      <c r="G169" s="22"/>
      <c r="H169" s="10"/>
      <c r="I169" s="10"/>
      <c r="J169" s="27"/>
      <c r="K169" s="27"/>
    </row>
    <row r="170" spans="1:11" x14ac:dyDescent="0.2">
      <c r="A170" s="10">
        <v>22439</v>
      </c>
      <c r="B170" s="11">
        <v>42811</v>
      </c>
      <c r="C170" s="12">
        <v>18.29</v>
      </c>
      <c r="D170" s="12">
        <v>1.39</v>
      </c>
      <c r="E170" s="15" t="s">
        <v>7</v>
      </c>
      <c r="F170" s="21"/>
      <c r="G170" s="22"/>
      <c r="H170" s="10"/>
      <c r="I170" s="10"/>
      <c r="J170" s="27"/>
      <c r="K170" s="27"/>
    </row>
    <row r="171" spans="1:11" x14ac:dyDescent="0.2">
      <c r="A171" s="10">
        <v>22440</v>
      </c>
      <c r="B171" s="11">
        <v>42811</v>
      </c>
      <c r="C171" s="12">
        <v>95.26</v>
      </c>
      <c r="D171" s="12">
        <v>7.26</v>
      </c>
      <c r="E171" s="15" t="s">
        <v>11</v>
      </c>
      <c r="I171" s="10"/>
      <c r="J171" s="27"/>
      <c r="K171" s="27"/>
    </row>
    <row r="172" spans="1:11" x14ac:dyDescent="0.2">
      <c r="A172" s="10">
        <v>22441</v>
      </c>
      <c r="B172" s="11">
        <v>42811</v>
      </c>
      <c r="C172" s="12">
        <v>76.319999999999993</v>
      </c>
      <c r="D172" s="12">
        <v>5.82</v>
      </c>
      <c r="E172" s="15" t="s">
        <v>7</v>
      </c>
      <c r="F172" s="134">
        <f>+C164+C165+C166+184.6+C169+C170+C171</f>
        <v>526.47</v>
      </c>
      <c r="G172" s="123">
        <f>+F172*0.97831</f>
        <v>515.05086570000003</v>
      </c>
      <c r="H172" s="253"/>
      <c r="I172" s="10"/>
      <c r="J172" s="27"/>
      <c r="K172" s="27"/>
    </row>
    <row r="173" spans="1:11" x14ac:dyDescent="0.2">
      <c r="A173" s="10">
        <v>22442</v>
      </c>
      <c r="B173" s="11">
        <v>42812</v>
      </c>
      <c r="C173" s="12">
        <v>114.2</v>
      </c>
      <c r="D173" s="12">
        <v>8.6999999999999993</v>
      </c>
      <c r="E173" s="15" t="s">
        <v>11</v>
      </c>
      <c r="I173" s="10"/>
      <c r="J173" s="27"/>
      <c r="K173" s="27"/>
    </row>
    <row r="174" spans="1:11" x14ac:dyDescent="0.2">
      <c r="A174" s="10">
        <v>22443</v>
      </c>
      <c r="B174" s="11">
        <v>42812</v>
      </c>
      <c r="C174" s="12">
        <v>35.51</v>
      </c>
      <c r="D174" s="12">
        <v>2.71</v>
      </c>
      <c r="E174" s="15" t="s">
        <v>533</v>
      </c>
      <c r="F174" s="21"/>
      <c r="G174" s="22"/>
      <c r="H174" s="10"/>
      <c r="I174" s="10"/>
      <c r="J174" s="27"/>
      <c r="K174" s="27"/>
    </row>
    <row r="175" spans="1:11" x14ac:dyDescent="0.2">
      <c r="A175" s="10">
        <v>22444</v>
      </c>
      <c r="B175" s="11">
        <v>42812</v>
      </c>
      <c r="C175" s="12">
        <v>103.92</v>
      </c>
      <c r="D175" s="12">
        <v>7.92</v>
      </c>
      <c r="E175" s="15" t="s">
        <v>533</v>
      </c>
      <c r="F175" s="21"/>
      <c r="G175" s="22"/>
      <c r="H175" s="10"/>
      <c r="I175" s="10"/>
      <c r="J175" s="27"/>
      <c r="K175" s="27"/>
    </row>
    <row r="176" spans="1:11" x14ac:dyDescent="0.2">
      <c r="A176" s="10">
        <v>22445</v>
      </c>
      <c r="B176" s="11">
        <v>42812</v>
      </c>
      <c r="C176" s="12">
        <v>489.29</v>
      </c>
      <c r="D176" s="12">
        <v>37.29</v>
      </c>
      <c r="E176" s="15" t="s">
        <v>533</v>
      </c>
      <c r="I176" s="10"/>
      <c r="J176" s="27"/>
      <c r="K176" s="27"/>
    </row>
    <row r="177" spans="1:11" x14ac:dyDescent="0.2">
      <c r="A177" s="10">
        <v>22446</v>
      </c>
      <c r="B177" s="11">
        <v>42812</v>
      </c>
      <c r="C177" s="12">
        <v>14</v>
      </c>
      <c r="D177" s="12">
        <v>1.07</v>
      </c>
      <c r="E177" s="17"/>
      <c r="F177" s="18"/>
      <c r="G177" s="19"/>
      <c r="H177" s="12"/>
      <c r="I177" s="10"/>
      <c r="J177" s="27"/>
      <c r="K177" s="27"/>
    </row>
    <row r="178" spans="1:11" x14ac:dyDescent="0.2">
      <c r="A178" s="10">
        <v>22447</v>
      </c>
      <c r="B178" s="11">
        <v>42812</v>
      </c>
      <c r="C178" s="12">
        <v>45.999999999999993</v>
      </c>
      <c r="D178" s="12">
        <v>3.51</v>
      </c>
      <c r="E178" s="17"/>
      <c r="F178" s="115"/>
      <c r="G178" s="115"/>
      <c r="I178" s="10"/>
      <c r="J178" s="27"/>
      <c r="K178" s="27"/>
    </row>
    <row r="179" spans="1:11" x14ac:dyDescent="0.2">
      <c r="A179" s="10">
        <v>22448</v>
      </c>
      <c r="B179" s="11">
        <v>42812</v>
      </c>
      <c r="C179" s="12">
        <v>332.87</v>
      </c>
      <c r="D179" s="12">
        <v>25.37</v>
      </c>
      <c r="E179" s="17"/>
      <c r="F179" s="18"/>
      <c r="G179" s="19"/>
      <c r="H179" s="12"/>
      <c r="I179" s="10"/>
      <c r="J179" s="27"/>
      <c r="K179" s="27"/>
    </row>
    <row r="180" spans="1:11" x14ac:dyDescent="0.2">
      <c r="A180" s="10">
        <v>22449</v>
      </c>
      <c r="B180" s="11">
        <v>42812</v>
      </c>
      <c r="C180" s="12">
        <v>556.41</v>
      </c>
      <c r="D180" s="12">
        <v>42.41</v>
      </c>
      <c r="E180" s="15" t="s">
        <v>533</v>
      </c>
      <c r="I180" s="10"/>
      <c r="J180" s="27"/>
      <c r="K180" s="27"/>
    </row>
    <row r="181" spans="1:11" x14ac:dyDescent="0.2">
      <c r="A181" s="10">
        <v>22450</v>
      </c>
      <c r="B181" s="11">
        <v>42812</v>
      </c>
      <c r="C181" s="12">
        <v>24.1</v>
      </c>
      <c r="D181" s="12"/>
      <c r="E181" s="15" t="s">
        <v>10</v>
      </c>
      <c r="F181" s="21"/>
      <c r="G181" s="22"/>
      <c r="H181" s="10"/>
      <c r="I181" s="10"/>
      <c r="J181" s="27"/>
      <c r="K181" s="27"/>
    </row>
    <row r="182" spans="1:11" x14ac:dyDescent="0.2">
      <c r="A182" s="10">
        <v>22451</v>
      </c>
      <c r="B182" s="11">
        <v>42812</v>
      </c>
      <c r="C182" s="12">
        <v>45.47</v>
      </c>
      <c r="D182" s="12">
        <v>3.47</v>
      </c>
      <c r="E182" s="15" t="s">
        <v>533</v>
      </c>
      <c r="I182" s="10"/>
      <c r="J182" s="27"/>
      <c r="K182" s="27"/>
    </row>
    <row r="183" spans="1:11" x14ac:dyDescent="0.2">
      <c r="A183" s="10">
        <v>22452</v>
      </c>
      <c r="B183" s="11">
        <v>42812</v>
      </c>
      <c r="C183" s="12">
        <v>200</v>
      </c>
      <c r="D183" s="12">
        <v>15.24</v>
      </c>
      <c r="E183" s="15"/>
      <c r="F183" s="21"/>
      <c r="G183" s="22"/>
      <c r="H183" s="10"/>
      <c r="I183" s="10"/>
      <c r="J183" s="27"/>
      <c r="K183" s="27"/>
    </row>
    <row r="184" spans="1:11" x14ac:dyDescent="0.2">
      <c r="A184" s="10">
        <v>22453</v>
      </c>
      <c r="B184" s="11">
        <v>42812</v>
      </c>
      <c r="C184" s="12">
        <v>21.599999999999998</v>
      </c>
      <c r="D184" s="12">
        <v>1.65</v>
      </c>
      <c r="E184" s="15" t="s">
        <v>533</v>
      </c>
      <c r="I184" s="10"/>
      <c r="J184" s="27"/>
      <c r="K184" s="27"/>
    </row>
    <row r="185" spans="1:11" x14ac:dyDescent="0.2">
      <c r="A185" s="10">
        <v>22454</v>
      </c>
      <c r="B185" s="11">
        <v>42812</v>
      </c>
      <c r="C185" s="12">
        <v>241.94</v>
      </c>
      <c r="D185" s="12">
        <v>18.440000000000001</v>
      </c>
      <c r="E185" s="15" t="s">
        <v>533</v>
      </c>
      <c r="I185" s="10"/>
      <c r="J185" s="27"/>
      <c r="K185" s="27"/>
    </row>
    <row r="186" spans="1:11" x14ac:dyDescent="0.2">
      <c r="A186" s="10">
        <v>22455</v>
      </c>
      <c r="B186" s="11">
        <v>42812</v>
      </c>
      <c r="C186" s="12">
        <v>198.64</v>
      </c>
      <c r="D186" s="12">
        <v>15.14</v>
      </c>
      <c r="E186" s="15" t="s">
        <v>959</v>
      </c>
      <c r="I186" s="10"/>
      <c r="J186" s="27"/>
      <c r="K186" s="27"/>
    </row>
    <row r="187" spans="1:11" x14ac:dyDescent="0.2">
      <c r="A187" s="10">
        <v>22456</v>
      </c>
      <c r="B187" s="11">
        <v>42812</v>
      </c>
      <c r="C187" s="12">
        <v>77</v>
      </c>
      <c r="D187" s="12"/>
      <c r="E187" s="13" t="s">
        <v>960</v>
      </c>
      <c r="F187" s="18"/>
      <c r="G187" s="19"/>
      <c r="H187" s="12"/>
      <c r="I187" s="10"/>
      <c r="J187" s="27"/>
      <c r="K187" s="27"/>
    </row>
    <row r="188" spans="1:11" x14ac:dyDescent="0.2">
      <c r="A188" s="10">
        <v>22457</v>
      </c>
      <c r="B188" s="11">
        <v>42812</v>
      </c>
      <c r="C188" s="12">
        <v>225.7</v>
      </c>
      <c r="D188" s="12">
        <v>17.2</v>
      </c>
      <c r="E188" s="15" t="s">
        <v>11</v>
      </c>
      <c r="F188" s="134">
        <f>+C173+100+C188</f>
        <v>439.9</v>
      </c>
      <c r="G188" s="123">
        <f>+F188*0.97831</f>
        <v>430.35856899999999</v>
      </c>
      <c r="H188" s="253" t="s">
        <v>961</v>
      </c>
      <c r="I188" s="10"/>
      <c r="J188" s="27"/>
      <c r="K188" s="27"/>
    </row>
    <row r="189" spans="1:11" x14ac:dyDescent="0.2">
      <c r="A189" s="10">
        <v>22458</v>
      </c>
      <c r="B189" s="11">
        <v>42814</v>
      </c>
      <c r="C189" s="12">
        <v>22.060000000000002</v>
      </c>
      <c r="D189" s="12">
        <v>1.68</v>
      </c>
      <c r="E189" s="23"/>
      <c r="F189" s="21"/>
      <c r="G189" s="22"/>
      <c r="H189" s="10"/>
      <c r="I189" s="10"/>
      <c r="J189" s="27"/>
      <c r="K189" s="27"/>
    </row>
    <row r="190" spans="1:11" x14ac:dyDescent="0.2">
      <c r="A190" s="10">
        <v>22459</v>
      </c>
      <c r="B190" s="11">
        <v>42814</v>
      </c>
      <c r="C190" s="12">
        <v>114.75</v>
      </c>
      <c r="D190" s="12">
        <v>8.75</v>
      </c>
      <c r="E190" s="17"/>
      <c r="F190" s="115"/>
      <c r="G190" s="115"/>
      <c r="I190" s="10"/>
      <c r="J190" s="27"/>
      <c r="K190" s="27"/>
    </row>
    <row r="191" spans="1:11" x14ac:dyDescent="0.2">
      <c r="A191" s="10">
        <v>22460</v>
      </c>
      <c r="B191" s="11">
        <v>42814</v>
      </c>
      <c r="C191" s="12">
        <v>11.91</v>
      </c>
      <c r="D191" s="12">
        <v>0.91</v>
      </c>
      <c r="E191" s="17"/>
      <c r="I191" s="10"/>
      <c r="J191" s="27"/>
      <c r="K191" s="27"/>
    </row>
    <row r="192" spans="1:11" x14ac:dyDescent="0.2">
      <c r="A192" s="10">
        <v>22461</v>
      </c>
      <c r="B192" s="11">
        <v>42814</v>
      </c>
      <c r="C192" s="12">
        <v>115.83</v>
      </c>
      <c r="D192" s="12">
        <v>8.83</v>
      </c>
      <c r="E192" s="15" t="s">
        <v>7</v>
      </c>
      <c r="I192" s="10"/>
      <c r="J192" s="27"/>
      <c r="K192" s="27"/>
    </row>
    <row r="193" spans="1:11" x14ac:dyDescent="0.2">
      <c r="A193" s="10">
        <v>22462</v>
      </c>
      <c r="B193" s="11">
        <v>42814</v>
      </c>
      <c r="C193" s="12">
        <v>176.29</v>
      </c>
      <c r="D193" s="12">
        <v>13.29</v>
      </c>
      <c r="E193" s="15"/>
      <c r="F193" s="21"/>
      <c r="G193" s="22"/>
      <c r="H193" s="10"/>
      <c r="I193" s="10"/>
      <c r="J193" s="27"/>
      <c r="K193" s="27"/>
    </row>
    <row r="194" spans="1:11" x14ac:dyDescent="0.2">
      <c r="A194" s="10">
        <v>22463</v>
      </c>
      <c r="B194" s="11">
        <v>42814</v>
      </c>
      <c r="C194" s="12">
        <v>54.02</v>
      </c>
      <c r="D194" s="12">
        <v>4.12</v>
      </c>
      <c r="E194" s="15" t="s">
        <v>11</v>
      </c>
      <c r="I194" s="10"/>
      <c r="J194" s="27"/>
      <c r="K194" s="27"/>
    </row>
    <row r="195" spans="1:11" x14ac:dyDescent="0.2">
      <c r="A195" s="10">
        <v>22464</v>
      </c>
      <c r="B195" s="11">
        <v>42814</v>
      </c>
      <c r="C195" s="12">
        <v>15.16</v>
      </c>
      <c r="D195" s="12">
        <v>1.1599999999999999</v>
      </c>
      <c r="E195" s="15" t="s">
        <v>21</v>
      </c>
      <c r="I195" s="10"/>
      <c r="J195" s="27"/>
      <c r="K195" s="27"/>
    </row>
    <row r="196" spans="1:11" x14ac:dyDescent="0.2">
      <c r="A196" s="10">
        <v>22465</v>
      </c>
      <c r="B196" s="11">
        <v>42814</v>
      </c>
      <c r="C196" s="12">
        <v>30</v>
      </c>
      <c r="D196" s="12">
        <v>2.29</v>
      </c>
      <c r="E196" s="17"/>
      <c r="F196" s="18"/>
      <c r="G196" s="19"/>
      <c r="H196" s="12"/>
      <c r="I196" s="10"/>
      <c r="J196" s="27"/>
      <c r="K196" s="27"/>
    </row>
    <row r="197" spans="1:11" x14ac:dyDescent="0.2">
      <c r="A197" s="10">
        <v>22466</v>
      </c>
      <c r="B197" s="11">
        <v>42814</v>
      </c>
      <c r="C197" s="12">
        <v>41</v>
      </c>
      <c r="D197" s="12"/>
      <c r="E197" s="15" t="s">
        <v>10</v>
      </c>
      <c r="I197" s="10"/>
      <c r="J197" s="27"/>
      <c r="K197" s="27"/>
    </row>
    <row r="198" spans="1:11" x14ac:dyDescent="0.2">
      <c r="A198" s="10">
        <v>22467</v>
      </c>
      <c r="B198" s="11">
        <v>42814</v>
      </c>
      <c r="C198" s="12">
        <v>228.95</v>
      </c>
      <c r="D198" s="12">
        <v>17.45</v>
      </c>
      <c r="E198" s="17"/>
      <c r="I198" s="10"/>
      <c r="J198" s="27"/>
      <c r="K198" s="27"/>
    </row>
    <row r="199" spans="1:11" x14ac:dyDescent="0.2">
      <c r="A199" s="10">
        <v>22468</v>
      </c>
      <c r="B199" s="11">
        <v>42814</v>
      </c>
      <c r="C199" s="12">
        <v>53.04</v>
      </c>
      <c r="D199" s="12">
        <v>4.04</v>
      </c>
      <c r="E199" s="15" t="s">
        <v>21</v>
      </c>
      <c r="F199" s="21"/>
      <c r="G199" s="22"/>
      <c r="H199" s="10"/>
      <c r="I199" s="10"/>
      <c r="J199" s="27"/>
      <c r="K199" s="27"/>
    </row>
    <row r="200" spans="1:11" x14ac:dyDescent="0.2">
      <c r="A200" s="10">
        <v>22469</v>
      </c>
      <c r="B200" s="11">
        <v>42814</v>
      </c>
      <c r="C200" s="12">
        <v>37</v>
      </c>
      <c r="D200" s="12"/>
      <c r="E200" s="15" t="s">
        <v>782</v>
      </c>
      <c r="F200" s="21"/>
      <c r="G200" s="22"/>
      <c r="H200" s="10"/>
      <c r="I200" s="10"/>
      <c r="J200" s="27"/>
      <c r="K200" s="27"/>
    </row>
    <row r="201" spans="1:11" x14ac:dyDescent="0.2">
      <c r="A201" s="10">
        <v>22470</v>
      </c>
      <c r="B201" s="11">
        <v>42814</v>
      </c>
      <c r="C201" s="12">
        <v>21.599999999999998</v>
      </c>
      <c r="D201" s="12">
        <v>1.65</v>
      </c>
      <c r="E201" s="15" t="s">
        <v>11</v>
      </c>
      <c r="I201" s="10"/>
      <c r="J201" s="27"/>
      <c r="K201" s="27"/>
    </row>
    <row r="202" spans="1:11" x14ac:dyDescent="0.2">
      <c r="A202" s="10">
        <v>22471</v>
      </c>
      <c r="B202" s="11">
        <v>42814</v>
      </c>
      <c r="C202" s="12">
        <v>11</v>
      </c>
      <c r="D202" s="12">
        <v>0.84</v>
      </c>
      <c r="E202" s="17"/>
      <c r="I202" s="10"/>
      <c r="J202" s="27"/>
      <c r="K202" s="27"/>
    </row>
    <row r="203" spans="1:11" x14ac:dyDescent="0.2">
      <c r="A203" s="10">
        <v>22472</v>
      </c>
      <c r="B203" s="11">
        <v>42814</v>
      </c>
      <c r="C203" s="12">
        <v>124</v>
      </c>
      <c r="D203" s="12">
        <v>9.4499999999999993</v>
      </c>
      <c r="E203" s="17"/>
      <c r="I203" s="10"/>
      <c r="J203" s="27"/>
      <c r="K203" s="27"/>
    </row>
    <row r="204" spans="1:11" x14ac:dyDescent="0.2">
      <c r="A204" s="10">
        <v>22473</v>
      </c>
      <c r="B204" s="11">
        <v>42814</v>
      </c>
      <c r="C204" s="12">
        <v>160</v>
      </c>
      <c r="D204" s="12">
        <v>12.19</v>
      </c>
      <c r="E204" s="15" t="s">
        <v>962</v>
      </c>
      <c r="I204" s="10"/>
      <c r="J204" s="27"/>
      <c r="K204" s="27"/>
    </row>
    <row r="205" spans="1:11" x14ac:dyDescent="0.2">
      <c r="A205" s="10">
        <v>22474</v>
      </c>
      <c r="B205" s="11">
        <v>42814</v>
      </c>
      <c r="C205" s="12">
        <v>48.71</v>
      </c>
      <c r="D205" s="12">
        <v>3.71</v>
      </c>
      <c r="E205" s="15" t="s">
        <v>11</v>
      </c>
      <c r="F205" s="21"/>
      <c r="G205" s="22"/>
      <c r="H205" s="10"/>
      <c r="I205" s="10"/>
      <c r="J205" s="27"/>
      <c r="K205" s="27"/>
    </row>
    <row r="206" spans="1:11" x14ac:dyDescent="0.2">
      <c r="A206" s="10">
        <v>22475</v>
      </c>
      <c r="B206" s="11">
        <v>42814</v>
      </c>
      <c r="C206" s="12">
        <v>40.049999999999997</v>
      </c>
      <c r="D206" s="12">
        <v>3.05</v>
      </c>
      <c r="E206" s="15" t="s">
        <v>533</v>
      </c>
      <c r="I206" s="10"/>
      <c r="J206" s="27"/>
      <c r="K206" s="27"/>
    </row>
    <row r="207" spans="1:11" x14ac:dyDescent="0.2">
      <c r="A207" s="10">
        <v>22476</v>
      </c>
      <c r="B207" s="11">
        <v>42814</v>
      </c>
      <c r="C207" s="12">
        <v>21.65</v>
      </c>
      <c r="D207" s="12">
        <v>1.65</v>
      </c>
      <c r="E207" s="17"/>
      <c r="F207" s="18"/>
      <c r="G207" s="19"/>
      <c r="H207" s="12"/>
      <c r="I207" s="10"/>
      <c r="J207" s="27"/>
      <c r="K207" s="27"/>
    </row>
    <row r="208" spans="1:11" x14ac:dyDescent="0.2">
      <c r="A208" s="10">
        <v>22477</v>
      </c>
      <c r="B208" s="11">
        <v>42814</v>
      </c>
      <c r="C208" s="12">
        <v>660</v>
      </c>
      <c r="D208" s="12">
        <v>50.3</v>
      </c>
      <c r="E208" s="15" t="s">
        <v>963</v>
      </c>
      <c r="I208" s="10"/>
      <c r="J208" s="27"/>
      <c r="K208" s="27"/>
    </row>
    <row r="209" spans="1:11" x14ac:dyDescent="0.2">
      <c r="A209" s="10">
        <v>22478</v>
      </c>
      <c r="B209" s="11">
        <v>42814</v>
      </c>
      <c r="C209" s="12">
        <v>10</v>
      </c>
      <c r="D209" s="12"/>
      <c r="E209" s="15" t="s">
        <v>87</v>
      </c>
      <c r="F209" s="134">
        <f>14.75+C192+C194+C200+C201+C205+460</f>
        <v>751.91</v>
      </c>
      <c r="G209" s="123">
        <f>+F209*0.97831</f>
        <v>735.60107210000001</v>
      </c>
      <c r="H209" s="253" t="s">
        <v>964</v>
      </c>
      <c r="I209" s="10"/>
      <c r="J209" s="27"/>
      <c r="K209" s="27"/>
    </row>
    <row r="210" spans="1:11" x14ac:dyDescent="0.2">
      <c r="A210" s="10">
        <v>22479</v>
      </c>
      <c r="B210" s="11">
        <v>42815</v>
      </c>
      <c r="C210" s="12">
        <v>-21</v>
      </c>
      <c r="D210" s="12"/>
      <c r="E210" s="15" t="s">
        <v>11</v>
      </c>
      <c r="F210" s="21"/>
      <c r="G210" s="22"/>
      <c r="H210" s="10"/>
      <c r="I210" s="10"/>
      <c r="J210" s="27"/>
      <c r="K210" s="27"/>
    </row>
    <row r="211" spans="1:11" x14ac:dyDescent="0.2">
      <c r="A211" s="10">
        <v>22480</v>
      </c>
      <c r="B211" s="11">
        <v>42815</v>
      </c>
      <c r="C211" s="12">
        <v>173.2</v>
      </c>
      <c r="D211" s="12">
        <v>13.2</v>
      </c>
      <c r="E211" s="15" t="s">
        <v>11</v>
      </c>
      <c r="F211" s="21"/>
      <c r="G211" s="22"/>
      <c r="H211" s="10"/>
      <c r="I211" s="10"/>
      <c r="J211" s="27"/>
      <c r="K211" s="27"/>
    </row>
    <row r="212" spans="1:11" x14ac:dyDescent="0.2">
      <c r="A212" s="10">
        <v>22481</v>
      </c>
      <c r="B212" s="11">
        <v>42815</v>
      </c>
      <c r="C212" s="12">
        <v>180</v>
      </c>
      <c r="D212" s="12">
        <v>13.72</v>
      </c>
      <c r="E212" s="13" t="s">
        <v>965</v>
      </c>
      <c r="F212" s="18"/>
      <c r="G212" s="19"/>
      <c r="H212" s="12"/>
      <c r="I212" s="10"/>
      <c r="J212" s="27"/>
      <c r="K212" s="27"/>
    </row>
    <row r="213" spans="1:11" x14ac:dyDescent="0.2">
      <c r="A213" s="10">
        <v>22482</v>
      </c>
      <c r="B213" s="11">
        <v>42815</v>
      </c>
      <c r="C213" s="12">
        <v>157</v>
      </c>
      <c r="D213" s="12">
        <v>11.96</v>
      </c>
      <c r="E213" s="15"/>
      <c r="I213" s="10"/>
      <c r="J213" s="27"/>
      <c r="K213" s="27"/>
    </row>
    <row r="214" spans="1:11" x14ac:dyDescent="0.2">
      <c r="A214" s="10">
        <v>22483</v>
      </c>
      <c r="B214" s="11">
        <v>42815</v>
      </c>
      <c r="C214" s="12">
        <v>4</v>
      </c>
      <c r="D214" s="12"/>
      <c r="E214" s="15" t="s">
        <v>11</v>
      </c>
      <c r="F214" s="21"/>
      <c r="G214" s="22"/>
      <c r="H214" s="10"/>
      <c r="I214" s="10"/>
      <c r="J214" s="27"/>
      <c r="K214" s="27"/>
    </row>
    <row r="215" spans="1:11" x14ac:dyDescent="0.2">
      <c r="A215" s="10">
        <v>22484</v>
      </c>
      <c r="B215" s="11">
        <v>42815</v>
      </c>
      <c r="C215" s="12">
        <v>258.72000000000003</v>
      </c>
      <c r="D215" s="12">
        <v>19.72</v>
      </c>
      <c r="E215" s="15" t="s">
        <v>7</v>
      </c>
      <c r="F215" s="21"/>
      <c r="G215" s="22"/>
      <c r="H215" s="10"/>
      <c r="I215" s="10"/>
      <c r="J215" s="27"/>
      <c r="K215" s="27"/>
    </row>
    <row r="216" spans="1:11" x14ac:dyDescent="0.2">
      <c r="A216" s="10">
        <v>22485</v>
      </c>
      <c r="B216" s="11">
        <v>42815</v>
      </c>
      <c r="C216" s="12">
        <v>49</v>
      </c>
      <c r="D216" s="12"/>
      <c r="E216" s="15" t="s">
        <v>11</v>
      </c>
      <c r="I216" s="10"/>
      <c r="J216" s="27"/>
      <c r="K216" s="27"/>
    </row>
    <row r="217" spans="1:11" x14ac:dyDescent="0.2">
      <c r="A217" s="10">
        <v>22486</v>
      </c>
      <c r="B217" s="11">
        <v>42815</v>
      </c>
      <c r="C217" s="12">
        <v>40</v>
      </c>
      <c r="D217" s="12">
        <v>3.05</v>
      </c>
      <c r="E217" s="17"/>
      <c r="F217" s="18"/>
      <c r="G217" s="19"/>
      <c r="H217" s="12"/>
      <c r="I217" s="10"/>
      <c r="J217" s="27"/>
      <c r="K217" s="27"/>
    </row>
    <row r="218" spans="1:11" x14ac:dyDescent="0.2">
      <c r="A218" s="10">
        <v>22487</v>
      </c>
      <c r="B218" s="11">
        <v>42815</v>
      </c>
      <c r="C218" s="12">
        <v>15</v>
      </c>
      <c r="D218" s="12">
        <v>1.1399999999999999</v>
      </c>
      <c r="E218" s="15" t="s">
        <v>523</v>
      </c>
      <c r="F218" s="21"/>
      <c r="G218" s="22"/>
      <c r="H218" s="10"/>
      <c r="I218" s="10"/>
      <c r="J218" s="27"/>
      <c r="K218" s="27"/>
    </row>
    <row r="219" spans="1:11" x14ac:dyDescent="0.2">
      <c r="A219" s="10">
        <v>22488</v>
      </c>
      <c r="B219" s="11">
        <v>42815</v>
      </c>
      <c r="C219" s="12">
        <v>0</v>
      </c>
      <c r="D219" s="12"/>
      <c r="E219" s="13" t="s">
        <v>733</v>
      </c>
      <c r="I219" s="10"/>
      <c r="J219" s="27"/>
      <c r="K219" s="27"/>
    </row>
    <row r="220" spans="1:11" x14ac:dyDescent="0.2">
      <c r="A220" s="10">
        <v>22489</v>
      </c>
      <c r="B220" s="11">
        <v>42815</v>
      </c>
      <c r="C220" s="12">
        <v>285.58</v>
      </c>
      <c r="D220" s="12"/>
      <c r="E220" s="15" t="s">
        <v>941</v>
      </c>
      <c r="F220" s="134">
        <f>+C210+C211+102.04+C214+C215+C216+C218</f>
        <v>580.96</v>
      </c>
      <c r="G220" s="123">
        <f>+F220*0.97831</f>
        <v>568.3589776</v>
      </c>
      <c r="H220" s="253" t="s">
        <v>966</v>
      </c>
      <c r="I220" s="10"/>
      <c r="J220" s="27"/>
      <c r="K220" s="27"/>
    </row>
    <row r="221" spans="1:11" x14ac:dyDescent="0.2">
      <c r="A221" s="10">
        <v>22490</v>
      </c>
      <c r="B221" s="11">
        <v>42816</v>
      </c>
      <c r="C221" s="12">
        <v>14.07</v>
      </c>
      <c r="D221" s="12">
        <v>1.07</v>
      </c>
      <c r="E221" s="17"/>
      <c r="F221" s="18"/>
      <c r="G221" s="19"/>
      <c r="H221" s="12"/>
      <c r="I221" s="10"/>
      <c r="J221" s="27"/>
      <c r="K221" s="27"/>
    </row>
    <row r="222" spans="1:11" x14ac:dyDescent="0.2">
      <c r="A222" s="10">
        <v>22491</v>
      </c>
      <c r="B222" s="11">
        <v>42816</v>
      </c>
      <c r="C222" s="12">
        <v>89.85</v>
      </c>
      <c r="D222" s="12">
        <v>6.85</v>
      </c>
      <c r="E222" s="15" t="s">
        <v>11</v>
      </c>
      <c r="F222" s="21"/>
      <c r="G222" s="22"/>
      <c r="H222" s="10"/>
      <c r="I222" s="10"/>
      <c r="J222" s="27"/>
      <c r="K222" s="27"/>
    </row>
    <row r="223" spans="1:11" x14ac:dyDescent="0.2">
      <c r="A223" s="10">
        <v>22492</v>
      </c>
      <c r="B223" s="11">
        <v>42816</v>
      </c>
      <c r="C223" s="12">
        <v>309.60000000000002</v>
      </c>
      <c r="D223" s="12">
        <v>23.6</v>
      </c>
      <c r="E223" s="13"/>
      <c r="F223" s="18"/>
      <c r="G223" s="19"/>
      <c r="H223" s="12"/>
      <c r="I223" s="10"/>
      <c r="J223" s="27"/>
      <c r="K223" s="27"/>
    </row>
    <row r="224" spans="1:11" x14ac:dyDescent="0.2">
      <c r="A224" s="10">
        <v>22493</v>
      </c>
      <c r="B224" s="11">
        <v>42816</v>
      </c>
      <c r="C224" s="12">
        <v>14.02</v>
      </c>
      <c r="D224" s="12">
        <v>1.07</v>
      </c>
      <c r="E224" s="15" t="s">
        <v>11</v>
      </c>
      <c r="I224" s="10"/>
      <c r="J224" s="27"/>
      <c r="K224" s="27"/>
    </row>
    <row r="225" spans="1:11" x14ac:dyDescent="0.2">
      <c r="A225" s="10">
        <v>22494</v>
      </c>
      <c r="B225" s="11">
        <v>42816</v>
      </c>
      <c r="C225" s="12">
        <v>113.66</v>
      </c>
      <c r="D225" s="12">
        <v>8.66</v>
      </c>
      <c r="E225" s="17"/>
      <c r="F225" s="18"/>
      <c r="G225" s="19"/>
      <c r="H225" s="12"/>
      <c r="I225" s="10"/>
      <c r="J225" s="27"/>
      <c r="K225" s="27"/>
    </row>
    <row r="226" spans="1:11" x14ac:dyDescent="0.2">
      <c r="A226" s="10">
        <v>22495</v>
      </c>
      <c r="B226" s="11">
        <v>42816</v>
      </c>
      <c r="C226" s="12">
        <v>55.99</v>
      </c>
      <c r="D226" s="12"/>
      <c r="E226" s="15" t="s">
        <v>967</v>
      </c>
      <c r="F226" s="21"/>
      <c r="G226" s="22"/>
      <c r="H226" s="10"/>
      <c r="I226" s="10"/>
      <c r="J226" s="27"/>
      <c r="K226" s="27"/>
    </row>
    <row r="227" spans="1:11" x14ac:dyDescent="0.2">
      <c r="A227" s="10">
        <v>22496</v>
      </c>
      <c r="B227" s="11">
        <v>42816</v>
      </c>
      <c r="C227" s="12">
        <v>208</v>
      </c>
      <c r="D227" s="12"/>
      <c r="E227" s="15" t="s">
        <v>968</v>
      </c>
      <c r="I227" s="10"/>
      <c r="J227" s="27"/>
      <c r="K227" s="27"/>
    </row>
    <row r="228" spans="1:11" x14ac:dyDescent="0.2">
      <c r="A228" s="10">
        <v>22497</v>
      </c>
      <c r="B228" s="11">
        <v>42816</v>
      </c>
      <c r="C228" s="12">
        <v>63.87</v>
      </c>
      <c r="D228" s="12">
        <v>4.87</v>
      </c>
      <c r="E228" s="17"/>
      <c r="I228" s="10"/>
      <c r="J228" s="27"/>
      <c r="K228" s="27"/>
    </row>
    <row r="229" spans="1:11" x14ac:dyDescent="0.2">
      <c r="A229" s="10">
        <v>22498</v>
      </c>
      <c r="B229" s="11">
        <v>42816</v>
      </c>
      <c r="C229" s="12">
        <v>140.72999999999999</v>
      </c>
      <c r="D229" s="12">
        <v>10.73</v>
      </c>
      <c r="E229" s="15" t="s">
        <v>11</v>
      </c>
      <c r="F229" s="21"/>
      <c r="G229" s="22"/>
      <c r="H229" s="10"/>
      <c r="I229" s="10"/>
      <c r="J229" s="27"/>
      <c r="K229" s="27"/>
    </row>
    <row r="230" spans="1:11" x14ac:dyDescent="0.2">
      <c r="A230" s="10">
        <v>22499</v>
      </c>
      <c r="B230" s="11">
        <v>42816</v>
      </c>
      <c r="C230" s="12">
        <v>328</v>
      </c>
      <c r="D230" s="12"/>
      <c r="E230" s="15" t="s">
        <v>969</v>
      </c>
      <c r="F230" s="134">
        <f>+C222+C224+C227+C229</f>
        <v>452.6</v>
      </c>
      <c r="G230" s="123">
        <f>+F230*0.97831</f>
        <v>442.78310600000003</v>
      </c>
      <c r="H230" s="253" t="s">
        <v>970</v>
      </c>
      <c r="I230" s="10"/>
      <c r="J230" s="27"/>
      <c r="K230" s="27"/>
    </row>
    <row r="231" spans="1:11" x14ac:dyDescent="0.2">
      <c r="A231" s="10">
        <v>22500</v>
      </c>
      <c r="B231" s="11">
        <v>42817</v>
      </c>
      <c r="C231" s="12">
        <v>23.82</v>
      </c>
      <c r="D231" s="12">
        <v>1.82</v>
      </c>
      <c r="E231" s="17"/>
      <c r="F231" s="18"/>
      <c r="G231" s="19"/>
      <c r="H231" s="12"/>
      <c r="I231" s="10"/>
      <c r="J231" s="27"/>
      <c r="K231" s="27"/>
    </row>
    <row r="232" spans="1:11" x14ac:dyDescent="0.2">
      <c r="A232" s="10">
        <v>22501</v>
      </c>
      <c r="B232" s="11">
        <v>42817</v>
      </c>
      <c r="C232" s="12">
        <v>34.64</v>
      </c>
      <c r="D232" s="12">
        <v>2.64</v>
      </c>
      <c r="E232" s="15" t="s">
        <v>11</v>
      </c>
      <c r="F232" s="21"/>
      <c r="G232" s="22"/>
      <c r="H232" s="10"/>
      <c r="I232" s="10"/>
      <c r="J232" s="27"/>
      <c r="K232" s="27"/>
    </row>
    <row r="233" spans="1:11" x14ac:dyDescent="0.2">
      <c r="A233" s="10">
        <v>22502</v>
      </c>
      <c r="B233" s="11">
        <v>42817</v>
      </c>
      <c r="C233" s="12">
        <v>248.98</v>
      </c>
      <c r="D233" s="12">
        <v>18.98</v>
      </c>
      <c r="E233" s="15"/>
      <c r="F233" s="21"/>
      <c r="G233" s="22"/>
      <c r="H233" s="10"/>
      <c r="I233" s="10"/>
      <c r="J233" s="27"/>
      <c r="K233" s="27"/>
    </row>
    <row r="234" spans="1:11" x14ac:dyDescent="0.2">
      <c r="A234" s="10">
        <v>22503</v>
      </c>
      <c r="B234" s="11">
        <v>42817</v>
      </c>
      <c r="C234" s="12">
        <v>9.1999999999999993</v>
      </c>
      <c r="D234" s="12">
        <v>0.7</v>
      </c>
      <c r="E234" s="17"/>
      <c r="I234" s="10"/>
      <c r="J234" s="27"/>
      <c r="K234" s="27"/>
    </row>
    <row r="235" spans="1:11" x14ac:dyDescent="0.2">
      <c r="A235" s="10">
        <v>22504</v>
      </c>
      <c r="B235" s="11">
        <v>42817</v>
      </c>
      <c r="C235" s="12">
        <v>39</v>
      </c>
      <c r="D235" s="12"/>
      <c r="E235" s="15" t="s">
        <v>971</v>
      </c>
      <c r="I235" s="10"/>
      <c r="J235" s="27"/>
      <c r="K235" s="27"/>
    </row>
    <row r="236" spans="1:11" x14ac:dyDescent="0.2">
      <c r="A236" s="10">
        <v>22505</v>
      </c>
      <c r="B236" s="11">
        <v>42817</v>
      </c>
      <c r="C236" s="12">
        <v>19.5</v>
      </c>
      <c r="D236" s="12"/>
      <c r="E236" s="15" t="s">
        <v>11</v>
      </c>
      <c r="I236" s="10"/>
      <c r="J236" s="27"/>
      <c r="K236" s="27"/>
    </row>
    <row r="237" spans="1:11" x14ac:dyDescent="0.2">
      <c r="A237" s="10">
        <v>22506</v>
      </c>
      <c r="B237" s="11">
        <v>42817</v>
      </c>
      <c r="C237" s="12">
        <v>138.56</v>
      </c>
      <c r="D237" s="12">
        <v>10.56</v>
      </c>
      <c r="E237" s="15" t="s">
        <v>972</v>
      </c>
      <c r="I237" s="10"/>
      <c r="J237" s="27"/>
      <c r="K237" s="27"/>
    </row>
    <row r="238" spans="1:11" x14ac:dyDescent="0.2">
      <c r="A238" s="10">
        <v>22507</v>
      </c>
      <c r="B238" s="11">
        <v>42817</v>
      </c>
      <c r="C238" s="12">
        <v>725</v>
      </c>
      <c r="D238" s="12"/>
      <c r="E238" s="13" t="s">
        <v>19</v>
      </c>
      <c r="F238" s="134">
        <f>+C232+C236+98.64</f>
        <v>152.78</v>
      </c>
      <c r="G238" s="123">
        <f>+F238*0.97831</f>
        <v>149.46620179999999</v>
      </c>
      <c r="H238" s="253" t="s">
        <v>973</v>
      </c>
      <c r="I238" s="10"/>
      <c r="J238" s="27"/>
      <c r="K238" s="27"/>
    </row>
    <row r="239" spans="1:11" x14ac:dyDescent="0.2">
      <c r="A239" s="10">
        <v>22508</v>
      </c>
      <c r="B239" s="11">
        <v>42818</v>
      </c>
      <c r="C239" s="12">
        <v>29.23</v>
      </c>
      <c r="D239" s="12">
        <v>2.23</v>
      </c>
      <c r="E239" s="17"/>
      <c r="F239" s="18"/>
      <c r="G239" s="19"/>
      <c r="H239" s="12"/>
      <c r="I239" s="10"/>
      <c r="J239" s="27"/>
      <c r="K239" s="27"/>
    </row>
    <row r="240" spans="1:11" x14ac:dyDescent="0.2">
      <c r="A240" s="10">
        <v>22509</v>
      </c>
      <c r="B240" s="11">
        <v>42818</v>
      </c>
      <c r="C240" s="12">
        <v>259.8</v>
      </c>
      <c r="D240" s="12">
        <v>19.8</v>
      </c>
      <c r="E240" s="15" t="s">
        <v>11</v>
      </c>
      <c r="I240" s="10"/>
      <c r="J240" s="27"/>
      <c r="K240" s="27"/>
    </row>
    <row r="241" spans="1:11" x14ac:dyDescent="0.2">
      <c r="A241" s="10">
        <v>22510</v>
      </c>
      <c r="B241" s="11">
        <v>42818</v>
      </c>
      <c r="C241" s="12">
        <v>107.17</v>
      </c>
      <c r="D241" s="12">
        <v>8.17</v>
      </c>
      <c r="E241" s="15" t="s">
        <v>11</v>
      </c>
      <c r="F241" s="21"/>
      <c r="G241" s="22"/>
      <c r="H241" s="10"/>
      <c r="I241" s="10"/>
      <c r="J241" s="27"/>
      <c r="K241" s="27"/>
    </row>
    <row r="242" spans="1:11" x14ac:dyDescent="0.2">
      <c r="A242" s="10">
        <v>22511</v>
      </c>
      <c r="B242" s="11">
        <v>42818</v>
      </c>
      <c r="C242" s="12">
        <v>93.45</v>
      </c>
      <c r="D242" s="12"/>
      <c r="E242" s="15" t="s">
        <v>21</v>
      </c>
      <c r="F242" s="21"/>
      <c r="G242" s="22"/>
      <c r="H242" s="10"/>
      <c r="I242" s="10"/>
      <c r="J242" s="27"/>
      <c r="K242" s="27"/>
    </row>
    <row r="243" spans="1:11" x14ac:dyDescent="0.2">
      <c r="A243" s="10">
        <v>22512</v>
      </c>
      <c r="B243" s="11">
        <v>42818</v>
      </c>
      <c r="C243" s="12">
        <v>375</v>
      </c>
      <c r="D243" s="12">
        <v>28.58</v>
      </c>
      <c r="E243" s="17"/>
      <c r="I243" s="10"/>
      <c r="J243" s="27"/>
      <c r="K243" s="27"/>
    </row>
    <row r="244" spans="1:11" x14ac:dyDescent="0.2">
      <c r="A244" s="10">
        <v>22513</v>
      </c>
      <c r="B244" s="11">
        <v>42818</v>
      </c>
      <c r="C244" s="12">
        <v>188.36</v>
      </c>
      <c r="D244" s="12">
        <v>14.36</v>
      </c>
      <c r="E244" s="15" t="s">
        <v>974</v>
      </c>
      <c r="I244" s="10"/>
      <c r="J244" s="27"/>
      <c r="K244" s="27"/>
    </row>
    <row r="245" spans="1:11" x14ac:dyDescent="0.2">
      <c r="A245" s="10">
        <v>22514</v>
      </c>
      <c r="B245" s="11">
        <v>42818</v>
      </c>
      <c r="C245" s="12">
        <v>34.5</v>
      </c>
      <c r="D245" s="12"/>
      <c r="E245" s="15" t="s">
        <v>941</v>
      </c>
      <c r="I245" s="10"/>
      <c r="J245" s="27"/>
      <c r="K245" s="27"/>
    </row>
    <row r="246" spans="1:11" x14ac:dyDescent="0.2">
      <c r="A246" s="10">
        <v>22515</v>
      </c>
      <c r="B246" s="11">
        <v>42818</v>
      </c>
      <c r="C246" s="12">
        <v>25</v>
      </c>
      <c r="D246" s="12"/>
      <c r="E246" s="15" t="s">
        <v>10</v>
      </c>
      <c r="I246" s="10"/>
      <c r="J246" s="27"/>
      <c r="K246" s="27"/>
    </row>
    <row r="247" spans="1:11" x14ac:dyDescent="0.2">
      <c r="A247" s="10">
        <v>22516</v>
      </c>
      <c r="B247" s="11">
        <v>42818</v>
      </c>
      <c r="C247" s="12">
        <v>36.799999999999997</v>
      </c>
      <c r="D247" s="12"/>
      <c r="E247" s="13" t="s">
        <v>8</v>
      </c>
      <c r="F247" s="134">
        <f>+C240+C241+55.99+C249</f>
        <v>482.50000000000006</v>
      </c>
      <c r="G247" s="123">
        <f>+F247*0.97831</f>
        <v>472.03457500000007</v>
      </c>
      <c r="H247" s="253"/>
      <c r="I247" s="10"/>
      <c r="J247" s="27"/>
      <c r="K247" s="27"/>
    </row>
    <row r="248" spans="1:11" x14ac:dyDescent="0.2">
      <c r="A248" s="10">
        <v>22517</v>
      </c>
      <c r="B248" s="11">
        <v>42819</v>
      </c>
      <c r="C248" s="12">
        <v>10</v>
      </c>
      <c r="D248" s="12">
        <v>0.76</v>
      </c>
      <c r="E248" s="17"/>
      <c r="F248" s="18"/>
      <c r="G248" s="19"/>
      <c r="H248" s="12"/>
      <c r="I248" s="10"/>
      <c r="J248" s="27"/>
      <c r="K248" s="27"/>
    </row>
    <row r="249" spans="1:11" x14ac:dyDescent="0.2">
      <c r="A249" s="10">
        <v>22518</v>
      </c>
      <c r="B249" s="11">
        <v>42819</v>
      </c>
      <c r="C249" s="12">
        <v>59.54</v>
      </c>
      <c r="D249" s="12">
        <v>4.54</v>
      </c>
      <c r="E249" s="15" t="s">
        <v>975</v>
      </c>
      <c r="F249" s="21"/>
      <c r="G249" s="22"/>
      <c r="H249" s="10"/>
      <c r="I249" s="10"/>
      <c r="J249" s="27"/>
      <c r="K249" s="27"/>
    </row>
    <row r="250" spans="1:11" x14ac:dyDescent="0.2">
      <c r="A250" s="10">
        <v>22519</v>
      </c>
      <c r="B250" s="11">
        <v>42819</v>
      </c>
      <c r="C250" s="12">
        <v>24.9</v>
      </c>
      <c r="D250" s="12">
        <v>1.9</v>
      </c>
      <c r="E250" s="17"/>
      <c r="I250" s="10"/>
      <c r="J250" s="27"/>
      <c r="K250" s="27"/>
    </row>
    <row r="251" spans="1:11" x14ac:dyDescent="0.2">
      <c r="A251" s="10">
        <v>22520</v>
      </c>
      <c r="B251" s="11">
        <v>42819</v>
      </c>
      <c r="C251" s="12">
        <v>32.42</v>
      </c>
      <c r="D251" s="12">
        <v>2.4700000000000002</v>
      </c>
      <c r="E251" s="15" t="s">
        <v>11</v>
      </c>
      <c r="I251" s="10"/>
      <c r="J251" s="27"/>
      <c r="K251" s="27"/>
    </row>
    <row r="252" spans="1:11" x14ac:dyDescent="0.2">
      <c r="A252" s="10">
        <v>22521</v>
      </c>
      <c r="B252" s="11">
        <v>42819</v>
      </c>
      <c r="C252" s="12">
        <v>96.34</v>
      </c>
      <c r="D252" s="12">
        <v>7.34</v>
      </c>
      <c r="E252" s="15" t="s">
        <v>11</v>
      </c>
      <c r="I252" s="10"/>
      <c r="J252" s="27"/>
      <c r="K252" s="27"/>
    </row>
    <row r="253" spans="1:11" x14ac:dyDescent="0.2">
      <c r="A253" s="10">
        <v>22522</v>
      </c>
      <c r="B253" s="11">
        <v>42819</v>
      </c>
      <c r="C253" s="12">
        <v>75.16</v>
      </c>
      <c r="D253" s="12">
        <v>1.1599999999999999</v>
      </c>
      <c r="E253" s="17"/>
      <c r="F253" s="18"/>
      <c r="G253" s="19"/>
      <c r="H253" s="12"/>
      <c r="I253" s="10"/>
      <c r="J253" s="27"/>
      <c r="K253" s="27"/>
    </row>
    <row r="254" spans="1:11" x14ac:dyDescent="0.2">
      <c r="A254" s="10">
        <v>22523</v>
      </c>
      <c r="B254" s="11">
        <v>42819</v>
      </c>
      <c r="C254" s="12">
        <v>525.54999999999995</v>
      </c>
      <c r="D254" s="12">
        <v>40.049999999999997</v>
      </c>
      <c r="E254" s="15" t="s">
        <v>976</v>
      </c>
      <c r="I254" s="10"/>
      <c r="J254" s="27"/>
      <c r="K254" s="27"/>
    </row>
    <row r="255" spans="1:11" x14ac:dyDescent="0.2">
      <c r="A255" s="10">
        <v>22524</v>
      </c>
      <c r="B255" s="11">
        <v>42819</v>
      </c>
      <c r="C255" s="12">
        <v>85.52</v>
      </c>
      <c r="D255" s="12">
        <v>6.52</v>
      </c>
      <c r="E255" s="15" t="s">
        <v>523</v>
      </c>
      <c r="I255" s="10"/>
      <c r="J255" s="27"/>
      <c r="K255" s="27"/>
    </row>
    <row r="256" spans="1:11" x14ac:dyDescent="0.2">
      <c r="A256" s="10">
        <v>22525</v>
      </c>
      <c r="B256" s="11">
        <v>42819</v>
      </c>
      <c r="C256" s="12">
        <v>146.68</v>
      </c>
      <c r="D256" s="12">
        <v>11.18</v>
      </c>
      <c r="E256" s="15" t="s">
        <v>11</v>
      </c>
      <c r="F256" s="21"/>
      <c r="G256" s="22"/>
      <c r="H256" s="10"/>
      <c r="I256" s="10"/>
      <c r="J256" s="27"/>
      <c r="K256" s="27"/>
    </row>
    <row r="257" spans="1:12" x14ac:dyDescent="0.2">
      <c r="A257" s="10">
        <v>22526</v>
      </c>
      <c r="B257" s="11">
        <v>42819</v>
      </c>
      <c r="C257" s="12">
        <v>73.61</v>
      </c>
      <c r="D257" s="12">
        <v>5.61</v>
      </c>
      <c r="E257" s="15" t="s">
        <v>11</v>
      </c>
      <c r="F257" s="21"/>
      <c r="G257" s="22"/>
      <c r="H257" s="10"/>
      <c r="I257" s="10"/>
      <c r="J257" s="27"/>
      <c r="K257" s="27"/>
    </row>
    <row r="258" spans="1:12" x14ac:dyDescent="0.2">
      <c r="A258" s="10">
        <v>22527</v>
      </c>
      <c r="B258" s="11">
        <v>42819</v>
      </c>
      <c r="C258" s="12">
        <v>195.93</v>
      </c>
      <c r="D258" s="12">
        <v>14.93</v>
      </c>
      <c r="E258" s="13"/>
      <c r="F258" s="18"/>
      <c r="G258" s="19"/>
      <c r="H258" s="12"/>
      <c r="I258" s="10"/>
      <c r="J258" s="27"/>
      <c r="K258" s="27"/>
    </row>
    <row r="259" spans="1:12" x14ac:dyDescent="0.2">
      <c r="A259" s="10">
        <v>22528</v>
      </c>
      <c r="B259" s="11">
        <v>42819</v>
      </c>
      <c r="C259" s="12">
        <v>74.69</v>
      </c>
      <c r="D259" s="12">
        <v>5.69</v>
      </c>
      <c r="E259" s="15" t="s">
        <v>11</v>
      </c>
      <c r="F259" s="21"/>
      <c r="G259" s="22"/>
      <c r="H259" s="10"/>
      <c r="I259" s="10"/>
      <c r="J259" s="27"/>
      <c r="K259" s="27"/>
    </row>
    <row r="260" spans="1:12" x14ac:dyDescent="0.2">
      <c r="A260" s="10">
        <v>22529</v>
      </c>
      <c r="B260" s="11">
        <v>42819</v>
      </c>
      <c r="C260" s="12">
        <v>147</v>
      </c>
      <c r="D260" s="12"/>
      <c r="E260" s="13" t="s">
        <v>8</v>
      </c>
      <c r="I260" s="10"/>
      <c r="J260" s="27"/>
      <c r="K260" s="27"/>
    </row>
    <row r="261" spans="1:12" x14ac:dyDescent="0.2">
      <c r="A261" s="10">
        <v>22530</v>
      </c>
      <c r="B261" s="11">
        <v>42819</v>
      </c>
      <c r="C261" s="12">
        <v>216.28</v>
      </c>
      <c r="D261" s="12">
        <v>16.48</v>
      </c>
      <c r="E261" s="15" t="s">
        <v>11</v>
      </c>
      <c r="F261" s="21"/>
      <c r="G261" s="22"/>
      <c r="H261" s="10"/>
      <c r="I261" s="10"/>
      <c r="J261" s="27"/>
      <c r="K261" s="27"/>
    </row>
    <row r="262" spans="1:12" x14ac:dyDescent="0.2">
      <c r="A262" s="10">
        <v>22531</v>
      </c>
      <c r="B262" s="11">
        <v>42819</v>
      </c>
      <c r="C262" s="12">
        <v>10.83</v>
      </c>
      <c r="D262" s="12">
        <v>0.83</v>
      </c>
      <c r="E262" s="15" t="s">
        <v>7</v>
      </c>
      <c r="F262" s="21"/>
      <c r="G262" s="22"/>
      <c r="H262" s="10"/>
      <c r="I262" s="10"/>
      <c r="J262" s="27"/>
      <c r="K262" s="27"/>
    </row>
    <row r="263" spans="1:12" x14ac:dyDescent="0.2">
      <c r="A263" s="10">
        <v>22532</v>
      </c>
      <c r="B263" s="11">
        <v>42819</v>
      </c>
      <c r="C263" s="12">
        <v>21.599999999999998</v>
      </c>
      <c r="D263" s="12">
        <v>1.65</v>
      </c>
      <c r="E263" s="15" t="s">
        <v>11</v>
      </c>
      <c r="F263" s="21"/>
      <c r="G263" s="22"/>
      <c r="H263" s="10"/>
      <c r="I263" s="10"/>
      <c r="J263" s="27"/>
      <c r="K263" s="27"/>
    </row>
    <row r="264" spans="1:12" x14ac:dyDescent="0.2">
      <c r="A264" s="10">
        <v>22533</v>
      </c>
      <c r="B264" s="11">
        <v>42819</v>
      </c>
      <c r="C264" s="12">
        <v>16.18</v>
      </c>
      <c r="D264" s="12">
        <v>1.23</v>
      </c>
      <c r="E264" s="15" t="s">
        <v>11</v>
      </c>
      <c r="F264" s="21"/>
      <c r="G264" s="22"/>
      <c r="H264" s="10"/>
      <c r="I264" s="10"/>
      <c r="J264" s="27"/>
      <c r="K264" s="27"/>
    </row>
    <row r="265" spans="1:12" x14ac:dyDescent="0.2">
      <c r="A265" s="10">
        <v>22534</v>
      </c>
      <c r="B265" s="11">
        <v>42819</v>
      </c>
      <c r="C265" s="12">
        <v>12.88</v>
      </c>
      <c r="D265" s="12">
        <v>0.98</v>
      </c>
      <c r="E265" s="17"/>
      <c r="F265" s="134">
        <f>+C251+C252+C255+C256+C257+C259+C262+C263+C264+C261</f>
        <v>774.15</v>
      </c>
      <c r="G265" s="123">
        <f>+F265*0.97831</f>
        <v>757.35868649999998</v>
      </c>
      <c r="H265" s="253"/>
      <c r="I265" s="10"/>
      <c r="J265" s="27"/>
      <c r="K265" s="27"/>
    </row>
    <row r="266" spans="1:12" x14ac:dyDescent="0.2">
      <c r="A266" s="10">
        <v>22535</v>
      </c>
      <c r="B266" s="11">
        <v>42821</v>
      </c>
      <c r="C266" s="12">
        <v>12</v>
      </c>
      <c r="D266" s="12"/>
      <c r="E266" s="15" t="s">
        <v>11</v>
      </c>
      <c r="F266" s="10"/>
      <c r="G266" s="10"/>
      <c r="H266" s="188"/>
      <c r="I266" s="212"/>
      <c r="J266" s="217"/>
      <c r="K266" s="217"/>
      <c r="L266" s="77"/>
    </row>
    <row r="267" spans="1:12" x14ac:dyDescent="0.2">
      <c r="A267" s="10">
        <v>22536</v>
      </c>
      <c r="B267" s="11">
        <v>42821</v>
      </c>
      <c r="C267" s="12">
        <v>48.71</v>
      </c>
      <c r="D267" s="12">
        <v>3.71</v>
      </c>
      <c r="E267" s="15" t="s">
        <v>11</v>
      </c>
      <c r="I267" s="212"/>
      <c r="J267" s="217"/>
      <c r="K267" s="217"/>
      <c r="L267" s="77"/>
    </row>
    <row r="268" spans="1:12" x14ac:dyDescent="0.2">
      <c r="A268" s="10">
        <v>22537</v>
      </c>
      <c r="B268" s="11">
        <v>42821</v>
      </c>
      <c r="C268" s="12">
        <v>333.5</v>
      </c>
      <c r="D268" s="12">
        <v>0</v>
      </c>
      <c r="E268" s="15" t="s">
        <v>941</v>
      </c>
      <c r="F268" s="21"/>
      <c r="G268" s="22"/>
      <c r="H268" s="10"/>
      <c r="I268" s="212"/>
      <c r="J268" s="217"/>
      <c r="K268" s="217"/>
      <c r="L268" s="77"/>
    </row>
    <row r="269" spans="1:12" x14ac:dyDescent="0.2">
      <c r="A269" s="10">
        <v>22538</v>
      </c>
      <c r="B269" s="11">
        <v>42821</v>
      </c>
      <c r="C269" s="12">
        <v>10.77</v>
      </c>
      <c r="D269" s="12">
        <v>0.82</v>
      </c>
      <c r="E269" s="15" t="s">
        <v>11</v>
      </c>
      <c r="I269" s="212"/>
      <c r="J269" s="217"/>
      <c r="K269" s="217"/>
      <c r="L269" s="77"/>
    </row>
    <row r="270" spans="1:12" x14ac:dyDescent="0.2">
      <c r="A270" s="10">
        <v>22539</v>
      </c>
      <c r="B270" s="11">
        <v>42821</v>
      </c>
      <c r="C270" s="12">
        <v>74.69</v>
      </c>
      <c r="D270" s="12">
        <v>5.69</v>
      </c>
      <c r="E270" s="15" t="s">
        <v>7</v>
      </c>
      <c r="F270" s="21"/>
      <c r="G270" s="22"/>
      <c r="H270" s="10"/>
      <c r="I270" s="212"/>
      <c r="J270" s="217"/>
      <c r="K270" s="217"/>
      <c r="L270" s="77"/>
    </row>
    <row r="271" spans="1:12" x14ac:dyDescent="0.2">
      <c r="A271" s="10">
        <v>22540</v>
      </c>
      <c r="B271" s="11">
        <v>42821</v>
      </c>
      <c r="C271" s="12">
        <v>58.46</v>
      </c>
      <c r="D271" s="12">
        <v>4.46</v>
      </c>
      <c r="E271" s="15" t="s">
        <v>21</v>
      </c>
      <c r="I271" s="212"/>
      <c r="J271" s="217"/>
      <c r="K271" s="217"/>
      <c r="L271" s="77"/>
    </row>
    <row r="272" spans="1:12" x14ac:dyDescent="0.2">
      <c r="A272" s="10">
        <v>22541</v>
      </c>
      <c r="B272" s="11">
        <v>42821</v>
      </c>
      <c r="C272" s="12">
        <v>5</v>
      </c>
      <c r="D272" s="12">
        <v>0.38</v>
      </c>
      <c r="E272" s="17"/>
      <c r="I272" s="212"/>
      <c r="J272" s="217"/>
      <c r="K272" s="217"/>
      <c r="L272" s="77"/>
    </row>
    <row r="273" spans="1:12" x14ac:dyDescent="0.2">
      <c r="A273" s="10">
        <v>22542</v>
      </c>
      <c r="B273" s="11">
        <v>42821</v>
      </c>
      <c r="C273" s="12">
        <v>29.4</v>
      </c>
      <c r="D273" s="12"/>
      <c r="E273" s="15" t="s">
        <v>977</v>
      </c>
      <c r="F273" s="21"/>
      <c r="G273" s="22"/>
      <c r="H273" s="10"/>
      <c r="I273" s="212"/>
      <c r="J273" s="217"/>
      <c r="K273" s="217"/>
      <c r="L273" s="77"/>
    </row>
    <row r="274" spans="1:12" x14ac:dyDescent="0.2">
      <c r="A274" s="10">
        <v>22543</v>
      </c>
      <c r="B274" s="11">
        <v>42821</v>
      </c>
      <c r="C274" s="12">
        <v>25.8</v>
      </c>
      <c r="D274" s="12"/>
      <c r="E274" s="15" t="s">
        <v>977</v>
      </c>
      <c r="I274" s="212"/>
      <c r="J274" s="217"/>
      <c r="K274" s="217"/>
      <c r="L274" s="77"/>
    </row>
    <row r="275" spans="1:12" x14ac:dyDescent="0.2">
      <c r="A275" s="10">
        <v>22544</v>
      </c>
      <c r="B275" s="11">
        <v>42821</v>
      </c>
      <c r="C275" s="12">
        <v>160</v>
      </c>
      <c r="D275" s="12"/>
      <c r="E275" s="15" t="s">
        <v>978</v>
      </c>
      <c r="I275" s="212"/>
      <c r="J275" s="217"/>
      <c r="K275" s="217"/>
      <c r="L275" s="77"/>
    </row>
    <row r="276" spans="1:12" x14ac:dyDescent="0.2">
      <c r="A276" s="10">
        <v>22545</v>
      </c>
      <c r="B276" s="11">
        <v>42821</v>
      </c>
      <c r="C276" s="12">
        <v>383</v>
      </c>
      <c r="D276" s="12">
        <v>29.19</v>
      </c>
      <c r="E276" s="13" t="s">
        <v>979</v>
      </c>
      <c r="I276" s="212"/>
      <c r="J276" s="217"/>
      <c r="K276" s="217"/>
      <c r="L276" s="77"/>
    </row>
    <row r="277" spans="1:12" x14ac:dyDescent="0.2">
      <c r="A277" s="10">
        <v>22546</v>
      </c>
      <c r="B277" s="11">
        <v>42821</v>
      </c>
      <c r="C277" s="12">
        <v>166.71</v>
      </c>
      <c r="D277" s="12">
        <v>12.71</v>
      </c>
      <c r="E277" s="17"/>
      <c r="I277" s="212"/>
      <c r="J277" s="217"/>
      <c r="K277" s="217"/>
      <c r="L277" s="77"/>
    </row>
    <row r="278" spans="1:12" x14ac:dyDescent="0.2">
      <c r="A278" s="10">
        <v>22547</v>
      </c>
      <c r="B278" s="11">
        <v>42821</v>
      </c>
      <c r="C278" s="12">
        <v>120.7</v>
      </c>
      <c r="D278" s="12">
        <v>9.1999999999999993</v>
      </c>
      <c r="E278" s="15"/>
      <c r="F278" s="134">
        <f>+C266+C267+C269+C270+2+6.71</f>
        <v>154.88000000000002</v>
      </c>
      <c r="G278" s="123">
        <f>+F278*0.97831</f>
        <v>151.52065280000002</v>
      </c>
      <c r="H278" s="253"/>
      <c r="I278" s="212"/>
      <c r="J278" s="217"/>
      <c r="K278" s="217"/>
      <c r="L278" s="77"/>
    </row>
    <row r="279" spans="1:12" x14ac:dyDescent="0.2">
      <c r="A279" s="10">
        <v>22548</v>
      </c>
      <c r="B279" s="11">
        <v>42822</v>
      </c>
      <c r="C279" s="12">
        <v>36.81</v>
      </c>
      <c r="D279" s="12">
        <v>2.81</v>
      </c>
      <c r="E279" s="15" t="s">
        <v>11</v>
      </c>
      <c r="F279" s="21"/>
      <c r="G279" s="22"/>
      <c r="H279" s="10"/>
      <c r="I279" s="212"/>
      <c r="J279" s="217"/>
      <c r="K279" s="217"/>
      <c r="L279" s="77"/>
    </row>
    <row r="280" spans="1:12" x14ac:dyDescent="0.2">
      <c r="A280" s="10">
        <v>22549</v>
      </c>
      <c r="B280" s="11">
        <v>42822</v>
      </c>
      <c r="C280" s="12"/>
      <c r="D280" s="12"/>
      <c r="E280" s="15" t="s">
        <v>980</v>
      </c>
      <c r="F280" s="21"/>
      <c r="G280" s="22"/>
      <c r="H280" s="10"/>
      <c r="I280" s="212"/>
      <c r="J280" s="217"/>
      <c r="K280" s="217"/>
      <c r="L280" s="77"/>
    </row>
    <row r="281" spans="1:12" x14ac:dyDescent="0.2">
      <c r="A281" s="10">
        <v>22550</v>
      </c>
      <c r="B281" s="11">
        <v>42822</v>
      </c>
      <c r="C281" s="12">
        <v>172.66</v>
      </c>
      <c r="D281" s="12">
        <v>13.16</v>
      </c>
      <c r="E281" s="17"/>
      <c r="I281" s="212"/>
      <c r="J281" s="217"/>
      <c r="K281" s="217"/>
      <c r="L281" s="77"/>
    </row>
    <row r="282" spans="1:12" x14ac:dyDescent="0.2">
      <c r="A282" s="10">
        <v>22551</v>
      </c>
      <c r="B282" s="11">
        <v>42822</v>
      </c>
      <c r="C282" s="12">
        <v>42.160000000000004</v>
      </c>
      <c r="D282" s="12">
        <v>3.21</v>
      </c>
      <c r="E282" s="17"/>
      <c r="F282" s="18"/>
      <c r="G282" s="19"/>
      <c r="H282" s="12"/>
      <c r="I282" s="212"/>
      <c r="J282" s="217"/>
      <c r="K282" s="217"/>
      <c r="L282" s="77"/>
    </row>
    <row r="283" spans="1:12" x14ac:dyDescent="0.2">
      <c r="A283" s="10">
        <v>22552</v>
      </c>
      <c r="B283" s="11">
        <v>42822</v>
      </c>
      <c r="C283" s="12">
        <v>188</v>
      </c>
      <c r="D283" s="12"/>
      <c r="E283" s="15" t="s">
        <v>941</v>
      </c>
      <c r="F283" s="21"/>
      <c r="G283" s="22"/>
      <c r="H283" s="10"/>
      <c r="I283" s="212"/>
      <c r="J283" s="217"/>
      <c r="K283" s="217"/>
      <c r="L283" s="77"/>
    </row>
    <row r="284" spans="1:12" x14ac:dyDescent="0.2">
      <c r="A284" s="10">
        <v>22553</v>
      </c>
      <c r="B284" s="11">
        <v>42822</v>
      </c>
      <c r="C284" s="12">
        <v>43.3</v>
      </c>
      <c r="D284" s="12">
        <v>3.3</v>
      </c>
      <c r="E284" s="15" t="s">
        <v>11</v>
      </c>
      <c r="I284" s="212"/>
      <c r="J284" s="217"/>
      <c r="K284" s="217"/>
      <c r="L284" s="77"/>
    </row>
    <row r="285" spans="1:12" x14ac:dyDescent="0.2">
      <c r="A285" s="10">
        <v>22554</v>
      </c>
      <c r="B285" s="11">
        <v>42822</v>
      </c>
      <c r="C285" s="12">
        <v>102.84</v>
      </c>
      <c r="D285" s="12">
        <v>7.84</v>
      </c>
      <c r="E285" s="15" t="s">
        <v>11</v>
      </c>
      <c r="F285" s="21"/>
      <c r="G285" s="22"/>
      <c r="H285" s="10"/>
      <c r="I285" s="212"/>
      <c r="J285" s="217"/>
      <c r="K285" s="217"/>
      <c r="L285" s="77"/>
    </row>
    <row r="286" spans="1:12" x14ac:dyDescent="0.2">
      <c r="A286" s="10">
        <v>22555</v>
      </c>
      <c r="B286" s="11">
        <v>42822</v>
      </c>
      <c r="C286" s="12">
        <v>32.26</v>
      </c>
      <c r="D286" s="12">
        <v>2.46</v>
      </c>
      <c r="E286" s="17"/>
      <c r="F286" s="134">
        <f>+C279+C284+C285+C274+C273</f>
        <v>238.15</v>
      </c>
      <c r="G286" s="123">
        <f>+F286*0.97831</f>
        <v>232.98452650000002</v>
      </c>
      <c r="H286" s="253"/>
      <c r="I286" s="212"/>
      <c r="J286" s="217"/>
      <c r="K286" s="217"/>
      <c r="L286" s="77"/>
    </row>
    <row r="287" spans="1:12" x14ac:dyDescent="0.2">
      <c r="A287" s="10">
        <v>22556</v>
      </c>
      <c r="B287" s="11">
        <v>42823</v>
      </c>
      <c r="C287" s="12">
        <v>148.30000000000001</v>
      </c>
      <c r="D287" s="12">
        <v>11.3</v>
      </c>
      <c r="E287" s="15" t="s">
        <v>11</v>
      </c>
      <c r="I287" s="212"/>
      <c r="J287" s="217"/>
      <c r="K287" s="217"/>
      <c r="L287" s="77"/>
    </row>
    <row r="288" spans="1:12" x14ac:dyDescent="0.2">
      <c r="A288" s="10">
        <v>22557</v>
      </c>
      <c r="B288" s="11">
        <v>42823</v>
      </c>
      <c r="C288" s="12">
        <v>170</v>
      </c>
      <c r="D288" s="12">
        <v>12.96</v>
      </c>
      <c r="E288" s="17"/>
      <c r="F288" s="18"/>
      <c r="G288" s="19"/>
      <c r="H288" s="12"/>
      <c r="I288" s="212"/>
      <c r="J288" s="217"/>
      <c r="K288" s="217"/>
      <c r="L288" s="77"/>
    </row>
    <row r="289" spans="1:12" x14ac:dyDescent="0.2">
      <c r="A289" s="10">
        <v>22558</v>
      </c>
      <c r="B289" s="11">
        <v>42823</v>
      </c>
      <c r="C289" s="12">
        <v>21.65</v>
      </c>
      <c r="D289" s="12">
        <v>1.65</v>
      </c>
      <c r="E289" s="17"/>
      <c r="F289" s="18"/>
      <c r="G289" s="19"/>
      <c r="H289" s="12"/>
      <c r="I289" s="212"/>
      <c r="J289" s="217"/>
      <c r="K289" s="217"/>
      <c r="L289" s="77"/>
    </row>
    <row r="290" spans="1:12" x14ac:dyDescent="0.2">
      <c r="A290" s="10">
        <v>22559</v>
      </c>
      <c r="B290" s="11">
        <v>42823</v>
      </c>
      <c r="C290" s="12">
        <v>173.2</v>
      </c>
      <c r="D290" s="12">
        <v>13.2</v>
      </c>
      <c r="E290" s="15" t="s">
        <v>7</v>
      </c>
      <c r="F290" s="21"/>
      <c r="G290" s="22"/>
      <c r="H290" s="10"/>
      <c r="I290" s="212"/>
      <c r="J290" s="217"/>
      <c r="K290" s="217"/>
      <c r="L290" s="77"/>
    </row>
    <row r="291" spans="1:12" x14ac:dyDescent="0.2">
      <c r="A291" s="10">
        <v>22560</v>
      </c>
      <c r="B291" s="11">
        <v>42823</v>
      </c>
      <c r="C291" s="12">
        <v>45.25</v>
      </c>
      <c r="D291" s="12">
        <v>3.45</v>
      </c>
      <c r="E291" s="15" t="s">
        <v>7</v>
      </c>
      <c r="F291" s="21"/>
      <c r="G291" s="22"/>
      <c r="H291" s="10"/>
      <c r="I291" s="212"/>
      <c r="J291" s="217"/>
      <c r="K291" s="217"/>
      <c r="L291" s="77"/>
    </row>
    <row r="292" spans="1:12" x14ac:dyDescent="0.2">
      <c r="A292" s="10">
        <v>22561</v>
      </c>
      <c r="B292" s="11">
        <v>42823</v>
      </c>
      <c r="C292" s="12">
        <v>10.229999999999999</v>
      </c>
      <c r="D292" s="12">
        <v>0.78</v>
      </c>
      <c r="E292" s="15" t="s">
        <v>11</v>
      </c>
      <c r="I292" s="212"/>
      <c r="J292" s="217"/>
      <c r="K292" s="217"/>
      <c r="L292" s="77"/>
    </row>
    <row r="293" spans="1:12" x14ac:dyDescent="0.2">
      <c r="A293" s="10">
        <v>22562</v>
      </c>
      <c r="B293" s="11">
        <v>42823</v>
      </c>
      <c r="C293" s="12">
        <v>60</v>
      </c>
      <c r="D293" s="12">
        <v>4.57</v>
      </c>
      <c r="E293" s="17"/>
      <c r="F293" s="18"/>
      <c r="G293" s="19"/>
      <c r="H293" s="12"/>
      <c r="I293" s="212"/>
      <c r="J293" s="217"/>
      <c r="K293" s="217"/>
      <c r="L293" s="77"/>
    </row>
    <row r="294" spans="1:12" x14ac:dyDescent="0.2">
      <c r="A294" s="10">
        <v>22563</v>
      </c>
      <c r="B294" s="11">
        <v>42823</v>
      </c>
      <c r="C294" s="12">
        <v>42</v>
      </c>
      <c r="D294" s="12">
        <v>3.2</v>
      </c>
      <c r="E294" s="17"/>
      <c r="F294" s="18"/>
      <c r="G294" s="19"/>
      <c r="H294" s="12"/>
      <c r="I294" s="212"/>
      <c r="J294" s="217"/>
      <c r="K294" s="217"/>
      <c r="L294" s="77"/>
    </row>
    <row r="295" spans="1:12" x14ac:dyDescent="0.2">
      <c r="A295" s="10">
        <v>22564</v>
      </c>
      <c r="B295" s="11">
        <v>42823</v>
      </c>
      <c r="C295" s="12">
        <v>232.74</v>
      </c>
      <c r="D295" s="12">
        <v>17.739999999999998</v>
      </c>
      <c r="E295" s="17"/>
      <c r="F295" s="18"/>
      <c r="G295" s="19"/>
      <c r="H295" s="12"/>
      <c r="I295" s="212"/>
      <c r="J295" s="217"/>
      <c r="K295" s="217"/>
      <c r="L295" s="77"/>
    </row>
    <row r="296" spans="1:12" x14ac:dyDescent="0.2">
      <c r="A296" s="10">
        <v>22565</v>
      </c>
      <c r="B296" s="11">
        <v>42823</v>
      </c>
      <c r="C296" s="12">
        <v>170</v>
      </c>
      <c r="D296" s="12">
        <v>12.96</v>
      </c>
      <c r="E296" s="17"/>
      <c r="F296" s="18"/>
      <c r="G296" s="19"/>
      <c r="H296" s="12"/>
      <c r="I296" s="212"/>
      <c r="J296" s="217"/>
      <c r="K296" s="217"/>
      <c r="L296" s="77"/>
    </row>
    <row r="297" spans="1:12" x14ac:dyDescent="0.2">
      <c r="A297" s="10">
        <v>22566</v>
      </c>
      <c r="B297" s="11">
        <v>42823</v>
      </c>
      <c r="C297" s="12">
        <v>33.56</v>
      </c>
      <c r="D297" s="12">
        <v>2.56</v>
      </c>
      <c r="E297" s="15" t="s">
        <v>11</v>
      </c>
      <c r="I297" s="212"/>
      <c r="J297" s="217"/>
      <c r="K297" s="217"/>
      <c r="L297" s="77"/>
    </row>
    <row r="298" spans="1:12" x14ac:dyDescent="0.2">
      <c r="A298" s="10">
        <v>22567</v>
      </c>
      <c r="B298" s="11">
        <v>42823</v>
      </c>
      <c r="C298" s="12">
        <v>78.97</v>
      </c>
      <c r="D298" s="12">
        <v>6.02</v>
      </c>
      <c r="E298" s="15" t="s">
        <v>7</v>
      </c>
      <c r="I298" s="212"/>
      <c r="J298" s="217"/>
      <c r="K298" s="217"/>
      <c r="L298" s="77"/>
    </row>
    <row r="299" spans="1:12" x14ac:dyDescent="0.2">
      <c r="A299" s="10">
        <v>22568</v>
      </c>
      <c r="B299" s="11">
        <v>42823</v>
      </c>
      <c r="C299" s="12">
        <v>12</v>
      </c>
      <c r="D299" s="12">
        <v>0.91</v>
      </c>
      <c r="E299" s="15" t="s">
        <v>11</v>
      </c>
      <c r="F299" s="134">
        <f>50+385+328+C291+C292+C297+C298+C290+C299</f>
        <v>1116.21</v>
      </c>
      <c r="G299" s="123">
        <f>+F299*0.97831</f>
        <v>1091.9994051000001</v>
      </c>
      <c r="H299" s="253"/>
      <c r="I299" s="212"/>
      <c r="J299" s="217"/>
      <c r="K299" s="217"/>
      <c r="L299" s="77"/>
    </row>
    <row r="300" spans="1:12" x14ac:dyDescent="0.2">
      <c r="A300" s="10">
        <v>22569</v>
      </c>
      <c r="B300" s="11">
        <v>42824</v>
      </c>
      <c r="C300" s="12">
        <v>33.5</v>
      </c>
      <c r="D300" s="12"/>
      <c r="E300" s="15" t="s">
        <v>10</v>
      </c>
      <c r="F300" s="21"/>
      <c r="G300" s="22"/>
      <c r="H300" s="10"/>
      <c r="I300" s="212"/>
      <c r="J300" s="217"/>
      <c r="K300" s="217"/>
      <c r="L300" s="77"/>
    </row>
    <row r="301" spans="1:12" x14ac:dyDescent="0.2">
      <c r="A301" s="10">
        <v>22570</v>
      </c>
      <c r="B301" s="11">
        <v>42824</v>
      </c>
      <c r="C301" s="12">
        <v>29.23</v>
      </c>
      <c r="D301" s="12">
        <v>2.23</v>
      </c>
      <c r="E301" s="15" t="s">
        <v>11</v>
      </c>
      <c r="I301" s="212"/>
      <c r="J301" s="217"/>
      <c r="K301" s="217"/>
      <c r="L301" s="77"/>
    </row>
    <row r="302" spans="1:12" x14ac:dyDescent="0.2">
      <c r="A302" s="10">
        <v>22571</v>
      </c>
      <c r="B302" s="11">
        <v>42824</v>
      </c>
      <c r="C302" s="12">
        <v>43.3</v>
      </c>
      <c r="D302" s="12">
        <v>3.3</v>
      </c>
      <c r="E302" s="17"/>
      <c r="F302" s="18"/>
      <c r="G302" s="19"/>
      <c r="H302" s="12"/>
      <c r="I302" s="212"/>
      <c r="J302" s="217"/>
      <c r="K302" s="217"/>
      <c r="L302" s="77"/>
    </row>
    <row r="303" spans="1:12" x14ac:dyDescent="0.2">
      <c r="A303" s="10">
        <v>22572</v>
      </c>
      <c r="B303" s="11">
        <v>42824</v>
      </c>
      <c r="C303" s="12">
        <v>41.95</v>
      </c>
      <c r="D303" s="12">
        <v>3.2</v>
      </c>
      <c r="E303" s="15" t="s">
        <v>7</v>
      </c>
      <c r="I303" s="212"/>
      <c r="J303" s="217"/>
      <c r="K303" s="217"/>
      <c r="L303" s="77"/>
    </row>
    <row r="304" spans="1:12" x14ac:dyDescent="0.2">
      <c r="A304" s="10">
        <v>22573</v>
      </c>
      <c r="B304" s="11">
        <v>42824</v>
      </c>
      <c r="C304" s="12">
        <v>33</v>
      </c>
      <c r="D304" s="12"/>
      <c r="E304" s="15" t="s">
        <v>16</v>
      </c>
      <c r="F304" s="134">
        <f>+C301+C303</f>
        <v>71.180000000000007</v>
      </c>
      <c r="G304" s="123">
        <f>+F304*0.97831</f>
        <v>69.63610580000001</v>
      </c>
      <c r="H304" s="253"/>
      <c r="I304" s="212"/>
      <c r="J304" s="217"/>
      <c r="K304" s="217"/>
      <c r="L304" s="77"/>
    </row>
    <row r="305" spans="1:12" x14ac:dyDescent="0.2">
      <c r="A305" s="10">
        <v>22574</v>
      </c>
      <c r="B305" s="11">
        <v>42825</v>
      </c>
      <c r="C305" s="12">
        <v>24</v>
      </c>
      <c r="D305" s="12"/>
      <c r="E305" s="15" t="s">
        <v>21</v>
      </c>
      <c r="F305" s="21"/>
      <c r="G305" s="22"/>
      <c r="H305" s="10"/>
      <c r="I305" s="212"/>
      <c r="J305" s="217"/>
      <c r="K305" s="217"/>
      <c r="L305" s="77"/>
    </row>
    <row r="306" spans="1:12" x14ac:dyDescent="0.2">
      <c r="A306" s="10">
        <v>22575</v>
      </c>
      <c r="B306" s="11">
        <v>42825</v>
      </c>
      <c r="C306" s="12">
        <v>13</v>
      </c>
      <c r="D306" s="12"/>
      <c r="E306" s="15" t="s">
        <v>21</v>
      </c>
      <c r="F306" s="21"/>
      <c r="G306" s="22"/>
      <c r="H306" s="10"/>
      <c r="I306" s="212"/>
      <c r="J306" s="217"/>
      <c r="K306" s="217"/>
      <c r="L306" s="77"/>
    </row>
    <row r="307" spans="1:12" x14ac:dyDescent="0.2">
      <c r="A307" s="10">
        <v>22576</v>
      </c>
      <c r="B307" s="11">
        <v>42825</v>
      </c>
      <c r="C307" s="12">
        <v>2.17</v>
      </c>
      <c r="D307" s="12">
        <v>0.17</v>
      </c>
      <c r="E307" s="17"/>
      <c r="F307" s="18"/>
      <c r="G307" s="19"/>
      <c r="H307" s="12"/>
      <c r="I307" s="212"/>
      <c r="J307" s="217"/>
      <c r="K307" s="217"/>
      <c r="L307" s="77"/>
    </row>
    <row r="308" spans="1:12" x14ac:dyDescent="0.2">
      <c r="A308" s="10">
        <v>22577</v>
      </c>
      <c r="B308" s="11">
        <v>42825</v>
      </c>
      <c r="C308" s="12">
        <v>498</v>
      </c>
      <c r="D308" s="12">
        <v>37.950000000000003</v>
      </c>
      <c r="E308" s="15" t="s">
        <v>21</v>
      </c>
      <c r="F308" s="21"/>
      <c r="G308" s="22"/>
      <c r="H308" s="10"/>
      <c r="I308" s="212"/>
      <c r="J308" s="217"/>
      <c r="K308" s="217"/>
      <c r="L308" s="77"/>
    </row>
    <row r="309" spans="1:12" x14ac:dyDescent="0.2">
      <c r="A309" s="10">
        <v>22578</v>
      </c>
      <c r="B309" s="11">
        <v>42825</v>
      </c>
      <c r="C309" s="12">
        <v>40.590000000000003</v>
      </c>
      <c r="D309" s="12">
        <v>3.09</v>
      </c>
      <c r="E309" s="13"/>
      <c r="F309" s="18"/>
      <c r="G309" s="19"/>
      <c r="H309" s="12"/>
      <c r="I309" s="212"/>
      <c r="J309" s="217"/>
      <c r="K309" s="217"/>
      <c r="L309" s="77"/>
    </row>
    <row r="310" spans="1:12" x14ac:dyDescent="0.2">
      <c r="A310" s="10">
        <v>22579</v>
      </c>
      <c r="B310" s="11">
        <v>42825</v>
      </c>
      <c r="C310" s="12">
        <v>40</v>
      </c>
      <c r="D310" s="12">
        <v>3.05</v>
      </c>
      <c r="E310" s="15" t="s">
        <v>11</v>
      </c>
      <c r="F310" s="21"/>
      <c r="G310" s="22"/>
      <c r="H310" s="10"/>
      <c r="I310" s="212"/>
      <c r="J310" s="217"/>
      <c r="K310" s="217"/>
      <c r="L310" s="77"/>
    </row>
    <row r="311" spans="1:12" x14ac:dyDescent="0.2">
      <c r="A311" s="10">
        <v>22580</v>
      </c>
      <c r="B311" s="11">
        <v>42825</v>
      </c>
      <c r="C311" s="12">
        <v>167.25</v>
      </c>
      <c r="D311" s="12">
        <v>12.75</v>
      </c>
      <c r="E311" s="15" t="s">
        <v>11</v>
      </c>
      <c r="F311" s="21"/>
      <c r="G311" s="22"/>
      <c r="H311" s="10"/>
      <c r="I311" s="212"/>
      <c r="J311" s="217"/>
      <c r="K311" s="217"/>
      <c r="L311" s="77"/>
    </row>
    <row r="312" spans="1:12" x14ac:dyDescent="0.2">
      <c r="A312" s="10">
        <v>22581</v>
      </c>
      <c r="B312" s="11">
        <v>42825</v>
      </c>
      <c r="C312" s="12">
        <v>17.32</v>
      </c>
      <c r="D312" s="12">
        <v>1.32</v>
      </c>
      <c r="E312" s="15" t="s">
        <v>11</v>
      </c>
      <c r="F312" s="21"/>
      <c r="G312" s="22"/>
      <c r="H312" s="10"/>
      <c r="I312" s="212"/>
      <c r="J312" s="217"/>
      <c r="K312" s="217"/>
      <c r="L312" s="77"/>
    </row>
    <row r="313" spans="1:12" x14ac:dyDescent="0.2">
      <c r="A313" s="10">
        <v>22582</v>
      </c>
      <c r="B313" s="11">
        <v>42825</v>
      </c>
      <c r="C313" s="12">
        <v>200</v>
      </c>
      <c r="D313" s="12"/>
      <c r="E313" s="15" t="s">
        <v>372</v>
      </c>
      <c r="I313" s="212"/>
      <c r="J313" s="217"/>
      <c r="K313" s="217"/>
      <c r="L313" s="77"/>
    </row>
    <row r="314" spans="1:12" x14ac:dyDescent="0.2">
      <c r="A314" s="10">
        <v>22583</v>
      </c>
      <c r="B314" s="11">
        <v>42825</v>
      </c>
      <c r="C314" s="12">
        <v>107.06</v>
      </c>
      <c r="D314" s="12">
        <v>8.16</v>
      </c>
      <c r="E314" s="15" t="s">
        <v>11</v>
      </c>
      <c r="I314" s="212"/>
      <c r="J314" s="217"/>
      <c r="K314" s="217"/>
      <c r="L314" s="77"/>
    </row>
    <row r="315" spans="1:12" x14ac:dyDescent="0.2">
      <c r="A315" s="10">
        <v>22584</v>
      </c>
      <c r="B315" s="11">
        <v>42825</v>
      </c>
      <c r="C315" s="12">
        <v>113.66</v>
      </c>
      <c r="D315" s="12">
        <v>8.66</v>
      </c>
      <c r="E315" s="15" t="s">
        <v>11</v>
      </c>
      <c r="I315" s="212"/>
      <c r="J315" s="217"/>
      <c r="K315" s="217"/>
      <c r="L315" s="77"/>
    </row>
    <row r="316" spans="1:12" x14ac:dyDescent="0.2">
      <c r="A316" s="10">
        <v>22585</v>
      </c>
      <c r="B316" s="11">
        <v>42825</v>
      </c>
      <c r="C316" s="12">
        <v>21.599999999999998</v>
      </c>
      <c r="D316" s="12">
        <v>1.65</v>
      </c>
      <c r="E316" s="17"/>
      <c r="I316" s="212"/>
      <c r="J316" s="217"/>
      <c r="K316" s="217"/>
      <c r="L316" s="77"/>
    </row>
    <row r="317" spans="1:12" x14ac:dyDescent="0.2">
      <c r="A317" s="10">
        <v>22586</v>
      </c>
      <c r="B317" s="11">
        <v>42825</v>
      </c>
      <c r="C317" s="12">
        <v>22.73</v>
      </c>
      <c r="D317" s="12">
        <v>1.73</v>
      </c>
      <c r="E317" s="17"/>
      <c r="I317" s="212"/>
      <c r="J317" s="217"/>
      <c r="K317" s="217"/>
      <c r="L317" s="77"/>
    </row>
    <row r="318" spans="1:12" x14ac:dyDescent="0.2">
      <c r="A318" s="10">
        <v>22587</v>
      </c>
      <c r="B318" s="11">
        <v>42825</v>
      </c>
      <c r="C318" s="12">
        <v>269.54000000000002</v>
      </c>
      <c r="D318" s="12">
        <v>20.54</v>
      </c>
      <c r="E318" s="17"/>
      <c r="I318" s="212"/>
      <c r="J318" s="217"/>
      <c r="K318" s="217"/>
      <c r="L318" s="77"/>
    </row>
    <row r="319" spans="1:12" x14ac:dyDescent="0.2">
      <c r="A319" s="10">
        <v>22588</v>
      </c>
      <c r="B319" s="11">
        <v>42825</v>
      </c>
      <c r="C319" s="12">
        <v>173.74</v>
      </c>
      <c r="D319" s="12">
        <v>13.24</v>
      </c>
      <c r="E319" s="15" t="s">
        <v>11</v>
      </c>
      <c r="I319" s="212"/>
      <c r="J319" s="217"/>
      <c r="K319" s="217"/>
      <c r="L319" s="77"/>
    </row>
    <row r="320" spans="1:12" x14ac:dyDescent="0.2">
      <c r="A320" s="10">
        <v>22589</v>
      </c>
      <c r="B320" s="11">
        <v>42825</v>
      </c>
      <c r="C320" s="12">
        <v>43.3</v>
      </c>
      <c r="D320" s="12">
        <v>3.3</v>
      </c>
      <c r="E320" s="17"/>
      <c r="I320" s="212"/>
      <c r="J320" s="217"/>
      <c r="K320" s="217"/>
      <c r="L320" s="77"/>
    </row>
    <row r="321" spans="1:12" x14ac:dyDescent="0.2">
      <c r="A321" s="10">
        <v>22590</v>
      </c>
      <c r="B321" s="11">
        <v>42825</v>
      </c>
      <c r="C321" s="12">
        <v>27.06</v>
      </c>
      <c r="D321" s="12">
        <v>2.06</v>
      </c>
      <c r="E321" s="15" t="s">
        <v>11</v>
      </c>
      <c r="F321" s="134">
        <f>+C310+C311+C312+C313+C314+C315+C319+C321</f>
        <v>846.08999999999992</v>
      </c>
      <c r="G321" s="123">
        <f>+F321*0.97831</f>
        <v>827.73830789999988</v>
      </c>
      <c r="H321" s="253" t="s">
        <v>942</v>
      </c>
      <c r="I321" s="212"/>
      <c r="J321" s="217"/>
      <c r="K321" s="217"/>
      <c r="L321" s="77"/>
    </row>
    <row r="322" spans="1:12" x14ac:dyDescent="0.2">
      <c r="E322" s="26"/>
      <c r="H322" s="77"/>
      <c r="I322" s="77"/>
      <c r="J322" s="77"/>
      <c r="K322" s="77"/>
      <c r="L322" s="77"/>
    </row>
    <row r="323" spans="1:12" x14ac:dyDescent="0.2">
      <c r="E323" s="26"/>
      <c r="F323" s="77"/>
      <c r="G323" s="77"/>
      <c r="H323" s="208"/>
      <c r="I323" s="219"/>
      <c r="J323" s="220"/>
      <c r="K323" s="80"/>
      <c r="L323" s="77"/>
    </row>
    <row r="324" spans="1:12" x14ac:dyDescent="0.2">
      <c r="E324" s="26"/>
      <c r="F324" s="77"/>
      <c r="G324" s="77"/>
      <c r="H324" s="207"/>
      <c r="I324" s="219"/>
      <c r="J324" s="220"/>
      <c r="K324" s="80"/>
      <c r="L324" s="77"/>
    </row>
    <row r="325" spans="1:12" x14ac:dyDescent="0.2">
      <c r="E325" s="26"/>
      <c r="F325" s="77"/>
      <c r="G325" s="77"/>
      <c r="H325" s="207"/>
      <c r="I325" s="219"/>
      <c r="J325" s="220"/>
      <c r="K325" s="80"/>
      <c r="L325" s="77"/>
    </row>
    <row r="326" spans="1:12" x14ac:dyDescent="0.2">
      <c r="E326" s="26"/>
      <c r="F326" s="77"/>
      <c r="G326" s="77"/>
      <c r="H326" s="208"/>
      <c r="I326" s="219"/>
      <c r="J326" s="220"/>
      <c r="K326" s="80"/>
      <c r="L326" s="77"/>
    </row>
    <row r="327" spans="1:12" x14ac:dyDescent="0.2">
      <c r="E327" s="26"/>
      <c r="F327" s="77"/>
      <c r="G327" s="77"/>
      <c r="H327" s="208"/>
      <c r="I327" s="219"/>
      <c r="J327" s="220"/>
      <c r="K327" s="80"/>
      <c r="L327" s="77"/>
    </row>
    <row r="328" spans="1:12" x14ac:dyDescent="0.2">
      <c r="E328" s="26"/>
      <c r="F328" s="77"/>
      <c r="G328" s="77"/>
      <c r="H328" s="207"/>
      <c r="I328" s="219"/>
      <c r="J328" s="220"/>
      <c r="K328" s="80"/>
      <c r="L328" s="77"/>
    </row>
    <row r="329" spans="1:12" x14ac:dyDescent="0.2">
      <c r="E329" s="26"/>
      <c r="F329" s="77"/>
      <c r="G329" s="77"/>
      <c r="H329" s="208"/>
      <c r="I329" s="219"/>
      <c r="J329" s="220"/>
      <c r="K329" s="220"/>
      <c r="L329" s="77"/>
    </row>
    <row r="330" spans="1:12" x14ac:dyDescent="0.2">
      <c r="E330" s="26"/>
      <c r="F330" s="77"/>
      <c r="G330" s="77"/>
      <c r="H330" s="208"/>
      <c r="I330" s="219"/>
      <c r="J330" s="220"/>
      <c r="K330" s="220"/>
      <c r="L330" s="77"/>
    </row>
    <row r="331" spans="1:12" x14ac:dyDescent="0.2">
      <c r="E331" s="26"/>
      <c r="F331" s="77"/>
      <c r="G331" s="77"/>
      <c r="H331" s="208"/>
      <c r="I331" s="219"/>
      <c r="J331" s="220"/>
      <c r="K331" s="220"/>
      <c r="L331" s="77"/>
    </row>
    <row r="332" spans="1:12" x14ac:dyDescent="0.2">
      <c r="E332" s="26"/>
      <c r="F332" s="77"/>
      <c r="G332" s="77"/>
      <c r="H332" s="208"/>
      <c r="I332" s="219"/>
      <c r="J332" s="220"/>
      <c r="K332" s="220"/>
      <c r="L332" s="77"/>
    </row>
    <row r="333" spans="1:12" x14ac:dyDescent="0.2">
      <c r="E333" s="26"/>
      <c r="F333" s="77"/>
      <c r="G333" s="77"/>
      <c r="H333" s="208"/>
      <c r="I333" s="219"/>
      <c r="J333" s="220"/>
      <c r="K333" s="220"/>
      <c r="L333" s="77"/>
    </row>
    <row r="334" spans="1:12" x14ac:dyDescent="0.2">
      <c r="E334" s="26"/>
      <c r="F334" s="77"/>
      <c r="G334" s="77"/>
      <c r="H334" s="208"/>
      <c r="I334" s="219"/>
      <c r="J334" s="220"/>
      <c r="K334" s="220"/>
      <c r="L334" s="77"/>
    </row>
    <row r="335" spans="1:12" x14ac:dyDescent="0.2">
      <c r="E335" s="26"/>
      <c r="F335" s="77"/>
      <c r="G335" s="77"/>
      <c r="H335" s="254"/>
      <c r="I335" s="219"/>
      <c r="J335" s="220"/>
      <c r="K335" s="220"/>
      <c r="L335" s="77"/>
    </row>
    <row r="336" spans="1:12" x14ac:dyDescent="0.2">
      <c r="E336" s="26"/>
      <c r="F336" s="77"/>
      <c r="G336" s="77"/>
      <c r="H336" s="254"/>
      <c r="I336" s="219"/>
      <c r="J336" s="220"/>
      <c r="K336" s="220"/>
      <c r="L336" s="77"/>
    </row>
    <row r="337" spans="5:12" x14ac:dyDescent="0.2">
      <c r="E337" s="26"/>
      <c r="F337" s="77"/>
      <c r="G337" s="77"/>
      <c r="H337" s="254"/>
      <c r="I337" s="80"/>
      <c r="J337" s="80"/>
      <c r="K337" s="80"/>
      <c r="L337" s="77"/>
    </row>
    <row r="338" spans="5:12" x14ac:dyDescent="0.2">
      <c r="E338" s="26"/>
      <c r="F338" s="77"/>
      <c r="G338" s="77"/>
      <c r="H338" s="254"/>
      <c r="I338" s="80"/>
      <c r="J338" s="80"/>
      <c r="K338" s="80"/>
      <c r="L338" s="77"/>
    </row>
    <row r="339" spans="5:12" x14ac:dyDescent="0.2">
      <c r="E339" s="26"/>
      <c r="F339" s="77"/>
      <c r="G339" s="77"/>
      <c r="H339" s="254"/>
      <c r="I339" s="80"/>
      <c r="J339" s="80"/>
      <c r="K339" s="80"/>
      <c r="L339" s="77"/>
    </row>
    <row r="340" spans="5:12" x14ac:dyDescent="0.2">
      <c r="E340" s="26"/>
      <c r="F340" s="77"/>
      <c r="G340" s="77"/>
      <c r="H340" s="85"/>
      <c r="I340" s="77"/>
      <c r="J340" s="77"/>
      <c r="K340" s="77"/>
      <c r="L340" s="77"/>
    </row>
    <row r="341" spans="5:12" x14ac:dyDescent="0.2">
      <c r="E341" s="26"/>
    </row>
    <row r="342" spans="5:12" x14ac:dyDescent="0.2">
      <c r="E342" s="26"/>
    </row>
    <row r="343" spans="5:12" x14ac:dyDescent="0.2">
      <c r="E343" s="26"/>
    </row>
    <row r="344" spans="5:12" x14ac:dyDescent="0.2">
      <c r="E344" s="26"/>
    </row>
    <row r="345" spans="5:12" x14ac:dyDescent="0.2">
      <c r="E345" s="26"/>
    </row>
    <row r="346" spans="5:12" x14ac:dyDescent="0.2">
      <c r="E346" s="26"/>
    </row>
    <row r="347" spans="5:12" x14ac:dyDescent="0.2">
      <c r="E347" s="26"/>
    </row>
    <row r="348" spans="5:12" x14ac:dyDescent="0.2">
      <c r="E348" s="26"/>
    </row>
    <row r="349" spans="5:12" x14ac:dyDescent="0.2">
      <c r="E349" s="26"/>
    </row>
    <row r="350" spans="5:12" x14ac:dyDescent="0.2">
      <c r="E350" s="26"/>
    </row>
    <row r="351" spans="5:12" x14ac:dyDescent="0.2">
      <c r="E351" s="26"/>
    </row>
    <row r="352" spans="5:12" x14ac:dyDescent="0.2">
      <c r="E352" s="26"/>
    </row>
    <row r="353" spans="1:10" s="29" customFormat="1" x14ac:dyDescent="0.2">
      <c r="A353" s="4"/>
      <c r="B353" s="11"/>
      <c r="C353" s="25"/>
      <c r="D353" s="4"/>
      <c r="E353" s="26"/>
      <c r="F353" s="4"/>
      <c r="G353" s="4"/>
      <c r="H353" s="25"/>
      <c r="I353" s="4"/>
      <c r="J353" s="4"/>
    </row>
    <row r="354" spans="1:10" s="29" customFormat="1" x14ac:dyDescent="0.2">
      <c r="A354" s="4"/>
      <c r="B354" s="11"/>
      <c r="C354" s="25"/>
      <c r="D354" s="4"/>
      <c r="E354" s="26"/>
      <c r="F354" s="4"/>
      <c r="G354" s="4"/>
      <c r="H354" s="25"/>
      <c r="I354" s="4"/>
      <c r="J354" s="4"/>
    </row>
    <row r="355" spans="1:10" x14ac:dyDescent="0.2">
      <c r="E355" s="26"/>
    </row>
    <row r="356" spans="1:10" x14ac:dyDescent="0.2">
      <c r="E356" s="26"/>
    </row>
    <row r="357" spans="1:10" x14ac:dyDescent="0.2">
      <c r="E357" s="26"/>
    </row>
    <row r="358" spans="1:10" x14ac:dyDescent="0.2">
      <c r="E358" s="26"/>
    </row>
    <row r="359" spans="1:10" x14ac:dyDescent="0.2">
      <c r="A359" s="29"/>
      <c r="B359" s="30"/>
      <c r="C359" s="31"/>
      <c r="D359" s="29"/>
      <c r="E359" s="32"/>
      <c r="F359" s="29"/>
      <c r="G359" s="29"/>
      <c r="H359" s="31"/>
      <c r="I359" s="29"/>
      <c r="J359" s="29"/>
    </row>
    <row r="360" spans="1:10" x14ac:dyDescent="0.2">
      <c r="A360" s="29"/>
      <c r="B360" s="30"/>
      <c r="C360" s="31"/>
      <c r="D360" s="29"/>
      <c r="E360" s="32"/>
      <c r="F360" s="29"/>
      <c r="G360" s="29"/>
      <c r="H360" s="31"/>
      <c r="I360" s="29"/>
      <c r="J360" s="29"/>
    </row>
    <row r="361" spans="1:10" x14ac:dyDescent="0.2">
      <c r="E361" s="26"/>
    </row>
    <row r="362" spans="1:10" x14ac:dyDescent="0.2">
      <c r="E362" s="26"/>
    </row>
    <row r="363" spans="1:10" x14ac:dyDescent="0.2">
      <c r="E363" s="26"/>
    </row>
    <row r="364" spans="1:10" x14ac:dyDescent="0.2">
      <c r="E364" s="26"/>
    </row>
    <row r="365" spans="1:10" x14ac:dyDescent="0.2">
      <c r="E365" s="26"/>
    </row>
    <row r="366" spans="1:10" x14ac:dyDescent="0.2">
      <c r="E366" s="26"/>
    </row>
    <row r="367" spans="1:10" x14ac:dyDescent="0.2">
      <c r="E367" s="26"/>
    </row>
    <row r="368" spans="1:10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  <row r="3289" spans="5:5" x14ac:dyDescent="0.2">
      <c r="E3289" s="26"/>
    </row>
    <row r="3290" spans="5:5" x14ac:dyDescent="0.2">
      <c r="E3290" s="26"/>
    </row>
    <row r="3291" spans="5:5" x14ac:dyDescent="0.2">
      <c r="E3291" s="26"/>
    </row>
    <row r="3292" spans="5:5" x14ac:dyDescent="0.2">
      <c r="E3292" s="26"/>
    </row>
    <row r="3293" spans="5:5" x14ac:dyDescent="0.2">
      <c r="E3293" s="26"/>
    </row>
    <row r="3294" spans="5:5" x14ac:dyDescent="0.2">
      <c r="E3294" s="26"/>
    </row>
    <row r="3295" spans="5:5" x14ac:dyDescent="0.2">
      <c r="E3295" s="26"/>
    </row>
    <row r="3296" spans="5:5" x14ac:dyDescent="0.2">
      <c r="E3296" s="26"/>
    </row>
    <row r="3297" spans="5:5" x14ac:dyDescent="0.2">
      <c r="E3297" s="26"/>
    </row>
    <row r="3298" spans="5:5" x14ac:dyDescent="0.2">
      <c r="E3298" s="26"/>
    </row>
    <row r="3299" spans="5:5" x14ac:dyDescent="0.2">
      <c r="E3299" s="26"/>
    </row>
    <row r="3300" spans="5:5" x14ac:dyDescent="0.2">
      <c r="E3300" s="26"/>
    </row>
    <row r="3301" spans="5:5" x14ac:dyDescent="0.2">
      <c r="E3301" s="26"/>
    </row>
    <row r="3302" spans="5:5" x14ac:dyDescent="0.2">
      <c r="E3302" s="26"/>
    </row>
    <row r="3303" spans="5:5" x14ac:dyDescent="0.2">
      <c r="E3303" s="26"/>
    </row>
    <row r="3304" spans="5:5" x14ac:dyDescent="0.2">
      <c r="E3304" s="26"/>
    </row>
    <row r="3305" spans="5:5" x14ac:dyDescent="0.2">
      <c r="E3305" s="26"/>
    </row>
    <row r="3306" spans="5:5" x14ac:dyDescent="0.2">
      <c r="E3306" s="26"/>
    </row>
    <row r="3307" spans="5:5" x14ac:dyDescent="0.2">
      <c r="E3307" s="26"/>
    </row>
    <row r="3308" spans="5:5" x14ac:dyDescent="0.2">
      <c r="E3308" s="26"/>
    </row>
    <row r="3309" spans="5:5" x14ac:dyDescent="0.2">
      <c r="E3309" s="26"/>
    </row>
    <row r="3310" spans="5:5" x14ac:dyDescent="0.2">
      <c r="E3310" s="26"/>
    </row>
    <row r="3311" spans="5:5" x14ac:dyDescent="0.2">
      <c r="E3311" s="26"/>
    </row>
    <row r="3312" spans="5:5" x14ac:dyDescent="0.2">
      <c r="E3312" s="26"/>
    </row>
    <row r="3313" spans="5:5" x14ac:dyDescent="0.2">
      <c r="E3313" s="26"/>
    </row>
    <row r="3314" spans="5:5" x14ac:dyDescent="0.2">
      <c r="E3314" s="26"/>
    </row>
    <row r="3315" spans="5:5" x14ac:dyDescent="0.2">
      <c r="E3315" s="26"/>
    </row>
    <row r="3316" spans="5:5" x14ac:dyDescent="0.2">
      <c r="E3316" s="26"/>
    </row>
    <row r="3317" spans="5:5" x14ac:dyDescent="0.2">
      <c r="E3317" s="26"/>
    </row>
    <row r="3318" spans="5:5" x14ac:dyDescent="0.2">
      <c r="E3318" s="26"/>
    </row>
    <row r="3319" spans="5:5" x14ac:dyDescent="0.2">
      <c r="E3319" s="26"/>
    </row>
    <row r="3320" spans="5:5" x14ac:dyDescent="0.2">
      <c r="E3320" s="26"/>
    </row>
    <row r="3321" spans="5:5" x14ac:dyDescent="0.2">
      <c r="E3321" s="26"/>
    </row>
    <row r="3322" spans="5:5" x14ac:dyDescent="0.2">
      <c r="E3322" s="26"/>
    </row>
    <row r="3323" spans="5:5" x14ac:dyDescent="0.2">
      <c r="E3323" s="26"/>
    </row>
    <row r="3324" spans="5:5" x14ac:dyDescent="0.2">
      <c r="E3324" s="26"/>
    </row>
    <row r="3325" spans="5:5" x14ac:dyDescent="0.2">
      <c r="E3325" s="26"/>
    </row>
    <row r="3326" spans="5:5" x14ac:dyDescent="0.2">
      <c r="E3326" s="26"/>
    </row>
    <row r="3327" spans="5:5" x14ac:dyDescent="0.2">
      <c r="E3327" s="26"/>
    </row>
    <row r="3328" spans="5:5" x14ac:dyDescent="0.2">
      <c r="E3328" s="26"/>
    </row>
    <row r="3329" spans="5:5" x14ac:dyDescent="0.2">
      <c r="E3329" s="26"/>
    </row>
    <row r="3330" spans="5:5" x14ac:dyDescent="0.2">
      <c r="E3330" s="26"/>
    </row>
    <row r="3331" spans="5:5" x14ac:dyDescent="0.2">
      <c r="E3331" s="26"/>
    </row>
    <row r="3332" spans="5:5" x14ac:dyDescent="0.2">
      <c r="E3332" s="26"/>
    </row>
    <row r="3333" spans="5:5" x14ac:dyDescent="0.2">
      <c r="E3333" s="26"/>
    </row>
    <row r="3334" spans="5:5" x14ac:dyDescent="0.2">
      <c r="E3334" s="26"/>
    </row>
    <row r="3335" spans="5:5" x14ac:dyDescent="0.2">
      <c r="E3335" s="2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310"/>
  <sheetViews>
    <sheetView topLeftCell="A248" workbookViewId="0">
      <selection activeCell="A296" sqref="A296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SUM(C3:C492)</f>
        <v>30907.304924999989</v>
      </c>
      <c r="D1" s="3">
        <f>SUM(D3:D492)</f>
        <v>2037.2449250000006</v>
      </c>
      <c r="E1" s="3"/>
      <c r="F1" s="166">
        <f>SUM(F3:F492)</f>
        <v>16068.79</v>
      </c>
      <c r="G1" s="166">
        <f>SUM(G3:G492)</f>
        <v>15848.860000000002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s="8" customFormat="1" x14ac:dyDescent="0.2">
      <c r="A3" s="10">
        <v>17786</v>
      </c>
      <c r="B3" s="11">
        <v>42278</v>
      </c>
      <c r="C3" s="12">
        <v>64.84</v>
      </c>
      <c r="D3" s="12">
        <v>4.9400000000000004</v>
      </c>
      <c r="E3" s="15" t="s">
        <v>11</v>
      </c>
      <c r="H3" s="16"/>
      <c r="I3" s="16"/>
    </row>
    <row r="4" spans="1:10" s="8" customFormat="1" x14ac:dyDescent="0.2">
      <c r="A4" s="10">
        <v>17787</v>
      </c>
      <c r="B4" s="11">
        <v>42278</v>
      </c>
      <c r="C4" s="12">
        <v>86.6</v>
      </c>
      <c r="D4" s="12">
        <v>6.6</v>
      </c>
      <c r="E4" s="15" t="s">
        <v>26</v>
      </c>
      <c r="H4" s="16"/>
      <c r="I4" s="16"/>
    </row>
    <row r="5" spans="1:10" s="8" customFormat="1" x14ac:dyDescent="0.2">
      <c r="A5" s="10">
        <v>17788</v>
      </c>
      <c r="B5" s="11">
        <v>42278</v>
      </c>
      <c r="C5" s="12">
        <v>227.33</v>
      </c>
      <c r="D5" s="12">
        <v>17.329999999999998</v>
      </c>
      <c r="E5" s="15" t="s">
        <v>11</v>
      </c>
      <c r="H5" s="16"/>
      <c r="I5" s="16"/>
    </row>
    <row r="6" spans="1:10" s="8" customFormat="1" x14ac:dyDescent="0.2">
      <c r="A6" s="10">
        <v>17789</v>
      </c>
      <c r="B6" s="11">
        <v>42278</v>
      </c>
      <c r="C6" s="12">
        <v>28</v>
      </c>
      <c r="D6" s="12">
        <v>2.13</v>
      </c>
      <c r="E6" s="15" t="s">
        <v>11</v>
      </c>
      <c r="H6" s="16"/>
      <c r="I6" s="16"/>
    </row>
    <row r="7" spans="1:10" s="8" customFormat="1" x14ac:dyDescent="0.2">
      <c r="A7" s="10">
        <v>17790</v>
      </c>
      <c r="B7" s="11">
        <v>42278</v>
      </c>
      <c r="C7" s="12">
        <v>213</v>
      </c>
      <c r="D7" s="12"/>
      <c r="E7" s="15" t="s">
        <v>7</v>
      </c>
      <c r="H7" s="16"/>
      <c r="I7" s="16"/>
    </row>
    <row r="8" spans="1:10" s="8" customFormat="1" x14ac:dyDescent="0.2">
      <c r="A8" s="10">
        <v>17791</v>
      </c>
      <c r="B8" s="11">
        <v>42278</v>
      </c>
      <c r="C8" s="12">
        <v>20.57</v>
      </c>
      <c r="D8" s="12">
        <v>1.57</v>
      </c>
      <c r="E8" s="15" t="s">
        <v>11</v>
      </c>
      <c r="F8" s="21"/>
      <c r="G8" s="22"/>
      <c r="H8" s="16"/>
      <c r="I8" s="16"/>
    </row>
    <row r="9" spans="1:10" s="8" customFormat="1" x14ac:dyDescent="0.2">
      <c r="A9" s="10">
        <v>17792</v>
      </c>
      <c r="B9" s="11">
        <v>42278</v>
      </c>
      <c r="C9" s="12"/>
      <c r="D9" s="12"/>
      <c r="E9" s="15" t="s">
        <v>466</v>
      </c>
      <c r="H9" s="16"/>
      <c r="I9" s="16"/>
    </row>
    <row r="10" spans="1:10" s="8" customFormat="1" x14ac:dyDescent="0.2">
      <c r="A10" s="10">
        <v>17793</v>
      </c>
      <c r="B10" s="11">
        <v>42278</v>
      </c>
      <c r="C10" s="12">
        <v>10.83</v>
      </c>
      <c r="D10" s="12">
        <v>0.83</v>
      </c>
      <c r="E10" s="17"/>
      <c r="F10" s="18"/>
      <c r="G10" s="19"/>
      <c r="H10" s="14"/>
      <c r="I10" s="16"/>
    </row>
    <row r="11" spans="1:10" s="8" customFormat="1" x14ac:dyDescent="0.2">
      <c r="A11" s="10">
        <v>17794</v>
      </c>
      <c r="B11" s="11">
        <v>42278</v>
      </c>
      <c r="C11" s="12">
        <v>21.65</v>
      </c>
      <c r="D11" s="12">
        <v>1.65</v>
      </c>
      <c r="E11" s="15" t="s">
        <v>11</v>
      </c>
      <c r="F11" s="21"/>
      <c r="G11" s="22"/>
      <c r="H11" s="16"/>
      <c r="I11" s="16"/>
    </row>
    <row r="12" spans="1:10" s="8" customFormat="1" x14ac:dyDescent="0.2">
      <c r="A12" s="10">
        <v>17795</v>
      </c>
      <c r="B12" s="11">
        <v>42278</v>
      </c>
      <c r="C12" s="12">
        <v>69.28</v>
      </c>
      <c r="D12" s="12">
        <v>5.28</v>
      </c>
      <c r="E12" s="17"/>
      <c r="H12" s="14"/>
      <c r="I12" s="16"/>
    </row>
    <row r="13" spans="1:10" s="8" customFormat="1" x14ac:dyDescent="0.2">
      <c r="A13" s="10">
        <v>17796</v>
      </c>
      <c r="B13" s="11">
        <v>42278</v>
      </c>
      <c r="C13" s="12">
        <v>140</v>
      </c>
      <c r="D13" s="12">
        <v>10.67</v>
      </c>
      <c r="E13" s="17"/>
      <c r="F13" s="18"/>
      <c r="G13" s="19"/>
      <c r="H13" s="14"/>
      <c r="I13" s="16"/>
    </row>
    <row r="14" spans="1:10" s="8" customFormat="1" x14ac:dyDescent="0.2">
      <c r="A14" s="10">
        <v>17797</v>
      </c>
      <c r="B14" s="11">
        <v>42278</v>
      </c>
      <c r="C14" s="12">
        <v>120</v>
      </c>
      <c r="D14" s="12">
        <v>9.15</v>
      </c>
      <c r="E14" s="17"/>
      <c r="H14" s="14"/>
      <c r="I14" s="16"/>
    </row>
    <row r="15" spans="1:10" s="8" customFormat="1" x14ac:dyDescent="0.2">
      <c r="A15" s="10">
        <v>17798</v>
      </c>
      <c r="B15" s="11">
        <v>42278</v>
      </c>
      <c r="C15" s="12">
        <v>5</v>
      </c>
      <c r="D15" s="12">
        <v>0.38</v>
      </c>
      <c r="E15" s="17"/>
      <c r="H15" s="14"/>
      <c r="I15" s="16"/>
    </row>
    <row r="16" spans="1:10" s="8" customFormat="1" x14ac:dyDescent="0.2">
      <c r="A16" s="10">
        <v>17799</v>
      </c>
      <c r="B16" s="11">
        <v>42278</v>
      </c>
      <c r="C16" s="12">
        <v>449</v>
      </c>
      <c r="D16" s="12">
        <v>34.22</v>
      </c>
      <c r="E16" s="15"/>
      <c r="H16" s="16"/>
      <c r="I16" s="16"/>
    </row>
    <row r="17" spans="1:9" s="8" customFormat="1" x14ac:dyDescent="0.2">
      <c r="A17" s="10">
        <v>17800</v>
      </c>
      <c r="B17" s="11">
        <v>42278</v>
      </c>
      <c r="C17" s="12">
        <v>45.47</v>
      </c>
      <c r="D17" s="12">
        <v>3.47</v>
      </c>
      <c r="E17" s="17"/>
      <c r="F17" s="34">
        <f>+C3+C6+C7+C8+C11+27+C5</f>
        <v>602.39</v>
      </c>
      <c r="G17" s="34">
        <v>589.20000000000005</v>
      </c>
      <c r="H17" s="12"/>
      <c r="I17" s="16"/>
    </row>
    <row r="18" spans="1:9" s="8" customFormat="1" x14ac:dyDescent="0.2">
      <c r="A18" s="10">
        <v>17801</v>
      </c>
      <c r="B18" s="11">
        <v>42279</v>
      </c>
      <c r="C18" s="12">
        <v>50</v>
      </c>
      <c r="D18" s="12">
        <v>3.81</v>
      </c>
      <c r="E18" s="23"/>
      <c r="H18" s="10"/>
      <c r="I18" s="16"/>
    </row>
    <row r="19" spans="1:9" s="8" customFormat="1" x14ac:dyDescent="0.2">
      <c r="A19" s="10">
        <v>17802</v>
      </c>
      <c r="B19" s="11">
        <v>42279</v>
      </c>
      <c r="C19" s="12">
        <v>48.71</v>
      </c>
      <c r="D19" s="12">
        <v>3.71</v>
      </c>
      <c r="E19" s="15" t="s">
        <v>21</v>
      </c>
      <c r="H19" s="10"/>
      <c r="I19" s="16"/>
    </row>
    <row r="20" spans="1:9" s="8" customFormat="1" x14ac:dyDescent="0.2">
      <c r="A20" s="10">
        <v>17803</v>
      </c>
      <c r="B20" s="11">
        <v>42279</v>
      </c>
      <c r="C20" s="12">
        <v>16.239999999999998</v>
      </c>
      <c r="D20" s="12">
        <v>1.24</v>
      </c>
      <c r="E20" s="17"/>
      <c r="F20" s="18"/>
      <c r="G20" s="19"/>
      <c r="H20" s="12"/>
      <c r="I20" s="16"/>
    </row>
    <row r="21" spans="1:9" s="8" customFormat="1" x14ac:dyDescent="0.2">
      <c r="A21" s="10">
        <v>17804</v>
      </c>
      <c r="B21" s="11">
        <v>42279</v>
      </c>
      <c r="C21" s="12">
        <v>261.97000000000003</v>
      </c>
      <c r="D21" s="12">
        <v>19.97</v>
      </c>
      <c r="E21" s="15" t="s">
        <v>467</v>
      </c>
      <c r="H21" s="10"/>
      <c r="I21" s="16"/>
    </row>
    <row r="22" spans="1:9" s="8" customFormat="1" x14ac:dyDescent="0.2">
      <c r="A22" s="10">
        <v>17805</v>
      </c>
      <c r="B22" s="11">
        <v>42279</v>
      </c>
      <c r="C22" s="12">
        <v>34.64</v>
      </c>
      <c r="D22" s="12">
        <v>2.64</v>
      </c>
      <c r="E22" s="17"/>
      <c r="F22" s="18"/>
      <c r="G22" s="19"/>
      <c r="H22" s="12"/>
      <c r="I22" s="16"/>
    </row>
    <row r="23" spans="1:9" s="8" customFormat="1" x14ac:dyDescent="0.2">
      <c r="A23" s="10">
        <v>17806</v>
      </c>
      <c r="B23" s="11">
        <v>42279</v>
      </c>
      <c r="C23" s="12">
        <v>270.63</v>
      </c>
      <c r="D23" s="12">
        <v>20.63</v>
      </c>
      <c r="E23" s="15"/>
      <c r="H23" s="10"/>
      <c r="I23" s="16"/>
    </row>
    <row r="24" spans="1:9" s="8" customFormat="1" x14ac:dyDescent="0.2">
      <c r="A24" s="10">
        <v>17807</v>
      </c>
      <c r="B24" s="11">
        <v>42279</v>
      </c>
      <c r="C24" s="12">
        <v>211.09</v>
      </c>
      <c r="D24" s="12">
        <v>16.09</v>
      </c>
      <c r="E24" s="15" t="s">
        <v>11</v>
      </c>
      <c r="H24" s="10"/>
      <c r="I24" s="16"/>
    </row>
    <row r="25" spans="1:9" s="8" customFormat="1" x14ac:dyDescent="0.2">
      <c r="A25" s="10">
        <v>17808</v>
      </c>
      <c r="B25" s="11">
        <v>42279</v>
      </c>
      <c r="C25" s="12">
        <v>209.46</v>
      </c>
      <c r="D25" s="12">
        <v>15.96</v>
      </c>
      <c r="E25" s="17"/>
      <c r="H25" s="12"/>
      <c r="I25" s="16"/>
    </row>
    <row r="26" spans="1:9" s="8" customFormat="1" x14ac:dyDescent="0.2">
      <c r="A26" s="10">
        <v>17809</v>
      </c>
      <c r="B26" s="11">
        <v>42279</v>
      </c>
      <c r="C26" s="12">
        <v>16.18</v>
      </c>
      <c r="D26" s="12">
        <v>1.23</v>
      </c>
      <c r="E26" s="17"/>
      <c r="H26" s="12"/>
      <c r="I26" s="16"/>
    </row>
    <row r="27" spans="1:9" s="8" customFormat="1" x14ac:dyDescent="0.2">
      <c r="A27" s="10">
        <v>17810</v>
      </c>
      <c r="B27" s="11">
        <v>42279</v>
      </c>
      <c r="C27" s="12">
        <v>9</v>
      </c>
      <c r="D27" s="12"/>
      <c r="E27" s="13" t="s">
        <v>253</v>
      </c>
      <c r="F27" s="34">
        <f>136.01+C24+21.97</f>
        <v>369.07000000000005</v>
      </c>
      <c r="G27" s="34">
        <v>365.91</v>
      </c>
      <c r="H27" s="12"/>
      <c r="I27" s="16"/>
    </row>
    <row r="28" spans="1:9" s="8" customFormat="1" x14ac:dyDescent="0.2">
      <c r="A28" s="10">
        <v>17811</v>
      </c>
      <c r="B28" s="11">
        <v>42280</v>
      </c>
      <c r="C28" s="12">
        <v>64.459999999999994</v>
      </c>
      <c r="D28" s="12">
        <v>4.91</v>
      </c>
      <c r="E28" s="15" t="s">
        <v>11</v>
      </c>
      <c r="F28" s="21"/>
      <c r="G28" s="22"/>
      <c r="H28" s="10"/>
      <c r="I28" s="16"/>
    </row>
    <row r="29" spans="1:9" s="8" customFormat="1" x14ac:dyDescent="0.2">
      <c r="A29" s="10">
        <v>17812</v>
      </c>
      <c r="B29" s="11">
        <v>42280</v>
      </c>
      <c r="C29" s="12">
        <v>34.53</v>
      </c>
      <c r="D29" s="12">
        <v>2.63</v>
      </c>
      <c r="E29" s="13"/>
      <c r="F29" s="18"/>
      <c r="G29" s="19"/>
      <c r="H29" s="12"/>
      <c r="I29" s="16"/>
    </row>
    <row r="30" spans="1:9" s="8" customFormat="1" x14ac:dyDescent="0.2">
      <c r="A30" s="10">
        <v>17813</v>
      </c>
      <c r="B30" s="11">
        <v>42280</v>
      </c>
      <c r="C30" s="12">
        <v>28.15</v>
      </c>
      <c r="D30" s="12">
        <v>2.15</v>
      </c>
      <c r="E30" s="15" t="s">
        <v>7</v>
      </c>
      <c r="F30" s="21"/>
      <c r="G30" s="22"/>
      <c r="H30" s="10"/>
      <c r="I30" s="16"/>
    </row>
    <row r="31" spans="1:9" s="8" customFormat="1" x14ac:dyDescent="0.2">
      <c r="A31" s="10">
        <v>17814</v>
      </c>
      <c r="B31" s="11">
        <v>42280</v>
      </c>
      <c r="C31" s="12">
        <v>221.32</v>
      </c>
      <c r="D31" s="12">
        <v>16.87</v>
      </c>
      <c r="E31" s="15" t="s">
        <v>11</v>
      </c>
      <c r="H31" s="10"/>
      <c r="I31" s="16"/>
    </row>
    <row r="32" spans="1:9" s="8" customFormat="1" x14ac:dyDescent="0.2">
      <c r="A32" s="10">
        <v>17815</v>
      </c>
      <c r="B32" s="11">
        <v>42280</v>
      </c>
      <c r="C32" s="12">
        <v>162.91999999999999</v>
      </c>
      <c r="D32" s="12">
        <v>12.42</v>
      </c>
      <c r="E32" s="15" t="s">
        <v>26</v>
      </c>
      <c r="H32" s="10"/>
      <c r="I32" s="16"/>
    </row>
    <row r="33" spans="1:9" s="8" customFormat="1" x14ac:dyDescent="0.2">
      <c r="A33" s="10">
        <v>17816</v>
      </c>
      <c r="B33" s="11">
        <v>42280</v>
      </c>
      <c r="C33" s="12">
        <v>213.25</v>
      </c>
      <c r="D33" s="12">
        <v>16.25</v>
      </c>
      <c r="E33" s="15" t="s">
        <v>11</v>
      </c>
      <c r="H33" s="10"/>
      <c r="I33" s="16"/>
    </row>
    <row r="34" spans="1:9" s="8" customFormat="1" x14ac:dyDescent="0.2">
      <c r="A34" s="10">
        <v>17817</v>
      </c>
      <c r="B34" s="11">
        <v>42280</v>
      </c>
      <c r="C34" s="12">
        <v>16.239999999999998</v>
      </c>
      <c r="D34" s="12">
        <v>1.24</v>
      </c>
      <c r="E34" s="15" t="s">
        <v>7</v>
      </c>
      <c r="F34" s="21"/>
      <c r="G34" s="22"/>
      <c r="H34" s="10"/>
      <c r="I34" s="16"/>
    </row>
    <row r="35" spans="1:9" s="8" customFormat="1" x14ac:dyDescent="0.2">
      <c r="A35" s="10">
        <v>17818</v>
      </c>
      <c r="B35" s="11">
        <v>42280</v>
      </c>
      <c r="C35" s="12">
        <v>328</v>
      </c>
      <c r="D35" s="12">
        <v>25</v>
      </c>
      <c r="E35" s="15" t="s">
        <v>7</v>
      </c>
      <c r="H35" s="10"/>
      <c r="I35" s="16"/>
    </row>
    <row r="36" spans="1:9" s="8" customFormat="1" x14ac:dyDescent="0.2">
      <c r="A36" s="10">
        <v>17819</v>
      </c>
      <c r="B36" s="11">
        <v>42280</v>
      </c>
      <c r="C36" s="12">
        <v>40</v>
      </c>
      <c r="D36" s="12"/>
      <c r="E36" s="13" t="s">
        <v>468</v>
      </c>
      <c r="H36" s="12"/>
      <c r="I36" s="16"/>
    </row>
    <row r="37" spans="1:9" s="8" customFormat="1" x14ac:dyDescent="0.2">
      <c r="A37" s="10">
        <v>17820</v>
      </c>
      <c r="B37" s="11">
        <v>42280</v>
      </c>
      <c r="C37" s="12">
        <v>250.6</v>
      </c>
      <c r="D37" s="12">
        <v>19.100000000000001</v>
      </c>
      <c r="E37" s="15" t="s">
        <v>11</v>
      </c>
      <c r="F37" s="34">
        <f>+C28+C30+C31+C33+24.45+C35+C37</f>
        <v>1130.23</v>
      </c>
      <c r="G37" s="34">
        <v>1117.54</v>
      </c>
      <c r="H37" s="10"/>
      <c r="I37" s="16"/>
    </row>
    <row r="38" spans="1:9" s="8" customFormat="1" x14ac:dyDescent="0.2">
      <c r="A38" s="10">
        <v>17821</v>
      </c>
      <c r="B38" s="11">
        <v>42282</v>
      </c>
      <c r="C38" s="12">
        <v>145.6</v>
      </c>
      <c r="D38" s="12">
        <v>11.1</v>
      </c>
      <c r="E38" s="15"/>
      <c r="F38" s="21"/>
      <c r="G38" s="22"/>
      <c r="H38" s="10"/>
      <c r="I38" s="16"/>
    </row>
    <row r="39" spans="1:9" s="8" customFormat="1" x14ac:dyDescent="0.2">
      <c r="A39" s="10">
        <v>17822</v>
      </c>
      <c r="B39" s="11">
        <v>42282</v>
      </c>
      <c r="C39" s="12">
        <v>215.42000000000002</v>
      </c>
      <c r="D39" s="12">
        <v>16.420000000000002</v>
      </c>
      <c r="E39" s="15" t="s">
        <v>11</v>
      </c>
      <c r="H39" s="10"/>
      <c r="I39" s="16"/>
    </row>
    <row r="40" spans="1:9" s="8" customFormat="1" x14ac:dyDescent="0.2">
      <c r="A40" s="10">
        <v>17823</v>
      </c>
      <c r="B40" s="11">
        <v>42282</v>
      </c>
      <c r="C40" s="12">
        <v>16.670000000000002</v>
      </c>
      <c r="D40" s="12">
        <v>1.27</v>
      </c>
      <c r="E40" s="17"/>
      <c r="F40" s="18"/>
      <c r="G40" s="19"/>
      <c r="H40" s="12"/>
      <c r="I40" s="16"/>
    </row>
    <row r="41" spans="1:9" s="8" customFormat="1" x14ac:dyDescent="0.2">
      <c r="A41" s="10">
        <v>17824</v>
      </c>
      <c r="B41" s="11">
        <v>42282</v>
      </c>
      <c r="C41" s="12">
        <v>11</v>
      </c>
      <c r="D41" s="12">
        <v>0.84</v>
      </c>
      <c r="E41" s="17"/>
      <c r="F41" s="18"/>
      <c r="G41" s="19"/>
      <c r="H41" s="12"/>
      <c r="I41" s="16"/>
    </row>
    <row r="42" spans="1:9" s="8" customFormat="1" x14ac:dyDescent="0.2">
      <c r="A42" s="10">
        <v>17825</v>
      </c>
      <c r="B42" s="11">
        <v>42282</v>
      </c>
      <c r="C42" s="12">
        <v>271.17</v>
      </c>
      <c r="D42" s="12">
        <v>20.67</v>
      </c>
      <c r="E42" s="15" t="s">
        <v>11</v>
      </c>
      <c r="H42" s="10"/>
      <c r="I42" s="16"/>
    </row>
    <row r="43" spans="1:9" s="8" customFormat="1" x14ac:dyDescent="0.2">
      <c r="A43" s="10">
        <v>17826</v>
      </c>
      <c r="B43" s="11">
        <v>42282</v>
      </c>
      <c r="C43" s="12">
        <v>10.77</v>
      </c>
      <c r="D43" s="12">
        <v>0.82</v>
      </c>
      <c r="E43" s="15" t="s">
        <v>11</v>
      </c>
      <c r="H43" s="10"/>
      <c r="I43" s="16"/>
    </row>
    <row r="44" spans="1:9" s="8" customFormat="1" x14ac:dyDescent="0.2">
      <c r="A44" s="10">
        <v>17827</v>
      </c>
      <c r="B44" s="11">
        <v>42282</v>
      </c>
      <c r="C44" s="12">
        <v>160</v>
      </c>
      <c r="D44" s="12"/>
      <c r="E44" s="15" t="s">
        <v>25</v>
      </c>
      <c r="H44" s="10"/>
      <c r="I44" s="16"/>
    </row>
    <row r="45" spans="1:9" s="8" customFormat="1" x14ac:dyDescent="0.2">
      <c r="A45" s="10">
        <v>17828</v>
      </c>
      <c r="B45" s="11">
        <v>42282</v>
      </c>
      <c r="C45" s="12">
        <v>12.61</v>
      </c>
      <c r="D45" s="12">
        <v>0.96</v>
      </c>
      <c r="E45" s="17"/>
      <c r="H45" s="12"/>
      <c r="I45" s="16"/>
    </row>
    <row r="46" spans="1:9" s="8" customFormat="1" x14ac:dyDescent="0.2">
      <c r="A46" s="10">
        <v>17829</v>
      </c>
      <c r="B46" s="11">
        <v>42282</v>
      </c>
      <c r="C46" s="12">
        <v>330.16</v>
      </c>
      <c r="D46" s="12">
        <v>25.16</v>
      </c>
      <c r="E46" s="15" t="s">
        <v>13</v>
      </c>
      <c r="H46" s="10"/>
      <c r="I46" s="16"/>
    </row>
    <row r="47" spans="1:9" s="8" customFormat="1" x14ac:dyDescent="0.2">
      <c r="A47" s="10">
        <v>17830</v>
      </c>
      <c r="B47" s="11">
        <v>42282</v>
      </c>
      <c r="C47" s="12">
        <v>173.2</v>
      </c>
      <c r="D47" s="12">
        <v>13.2</v>
      </c>
      <c r="E47" s="15" t="s">
        <v>11</v>
      </c>
      <c r="H47" s="10"/>
      <c r="I47" s="16"/>
    </row>
    <row r="48" spans="1:9" s="8" customFormat="1" x14ac:dyDescent="0.2">
      <c r="A48" s="10">
        <v>17831</v>
      </c>
      <c r="B48" s="11">
        <v>42282</v>
      </c>
      <c r="C48" s="12">
        <v>65</v>
      </c>
      <c r="D48" s="12"/>
      <c r="E48" s="13" t="s">
        <v>469</v>
      </c>
      <c r="H48" s="12"/>
      <c r="I48" s="16"/>
    </row>
    <row r="49" spans="1:11" s="8" customFormat="1" x14ac:dyDescent="0.2">
      <c r="A49" s="10">
        <v>17832</v>
      </c>
      <c r="B49" s="11">
        <v>42282</v>
      </c>
      <c r="C49" s="12">
        <v>265.20999999999998</v>
      </c>
      <c r="D49" s="12">
        <v>20.21</v>
      </c>
      <c r="E49" s="15"/>
      <c r="F49" s="21"/>
      <c r="G49" s="22"/>
      <c r="H49" s="10"/>
      <c r="I49" s="16"/>
    </row>
    <row r="50" spans="1:11" s="8" customFormat="1" x14ac:dyDescent="0.2">
      <c r="A50" s="10">
        <v>17833</v>
      </c>
      <c r="B50" s="11">
        <v>42282</v>
      </c>
      <c r="C50" s="12">
        <v>46.49</v>
      </c>
      <c r="D50" s="12">
        <v>3.54</v>
      </c>
      <c r="E50" s="15" t="s">
        <v>11</v>
      </c>
      <c r="H50" s="10"/>
      <c r="I50" s="16"/>
    </row>
    <row r="51" spans="1:11" s="8" customFormat="1" x14ac:dyDescent="0.2">
      <c r="A51" s="10">
        <v>17834</v>
      </c>
      <c r="B51" s="11">
        <v>42282</v>
      </c>
      <c r="C51" s="12">
        <v>74.69</v>
      </c>
      <c r="D51" s="12">
        <v>5.69</v>
      </c>
      <c r="E51" s="15" t="s">
        <v>7</v>
      </c>
      <c r="H51" s="10"/>
      <c r="I51" s="16"/>
    </row>
    <row r="52" spans="1:11" s="8" customFormat="1" x14ac:dyDescent="0.2">
      <c r="A52" s="10">
        <v>17835</v>
      </c>
      <c r="B52" s="11">
        <v>42282</v>
      </c>
      <c r="C52" s="12">
        <v>57.37</v>
      </c>
      <c r="D52" s="12">
        <v>4.37</v>
      </c>
      <c r="E52" s="13" t="s">
        <v>470</v>
      </c>
      <c r="F52" s="34">
        <f>+C39+C42+C43+C46+C47+C50+C51</f>
        <v>1121.9000000000001</v>
      </c>
      <c r="G52" s="34">
        <v>1106.2</v>
      </c>
      <c r="H52" s="161"/>
      <c r="I52" s="16"/>
    </row>
    <row r="53" spans="1:11" s="8" customFormat="1" x14ac:dyDescent="0.2">
      <c r="A53" s="10">
        <v>17836</v>
      </c>
      <c r="B53" s="11">
        <v>42283</v>
      </c>
      <c r="C53" s="12">
        <v>7.29</v>
      </c>
      <c r="D53" s="12"/>
      <c r="E53" s="15" t="s">
        <v>11</v>
      </c>
      <c r="H53" s="10"/>
      <c r="I53" s="16"/>
    </row>
    <row r="54" spans="1:11" s="8" customFormat="1" x14ac:dyDescent="0.2">
      <c r="A54" s="10">
        <v>17837</v>
      </c>
      <c r="B54" s="11">
        <v>42283</v>
      </c>
      <c r="C54" s="12">
        <v>24.46</v>
      </c>
      <c r="D54" s="12">
        <v>1.86</v>
      </c>
      <c r="E54" s="15" t="s">
        <v>7</v>
      </c>
      <c r="F54" s="16"/>
      <c r="G54" s="16"/>
      <c r="H54" s="167"/>
      <c r="I54" s="167"/>
      <c r="J54" s="168"/>
      <c r="K54" s="168"/>
    </row>
    <row r="55" spans="1:11" s="8" customFormat="1" x14ac:dyDescent="0.2">
      <c r="A55" s="10">
        <v>17838</v>
      </c>
      <c r="B55" s="11">
        <v>42283</v>
      </c>
      <c r="C55" s="12">
        <v>84.44</v>
      </c>
      <c r="D55" s="12">
        <v>6.44</v>
      </c>
      <c r="E55" s="15" t="s">
        <v>11</v>
      </c>
      <c r="F55" s="16"/>
      <c r="G55" s="16"/>
      <c r="H55" s="167"/>
      <c r="I55" s="167"/>
      <c r="J55" s="168"/>
      <c r="K55" s="168"/>
    </row>
    <row r="56" spans="1:11" s="8" customFormat="1" x14ac:dyDescent="0.2">
      <c r="A56" s="10">
        <v>17839</v>
      </c>
      <c r="B56" s="11">
        <v>42283</v>
      </c>
      <c r="C56" s="12">
        <v>230.57</v>
      </c>
      <c r="D56" s="12">
        <v>17.57</v>
      </c>
      <c r="E56" s="15" t="s">
        <v>471</v>
      </c>
      <c r="H56" s="167"/>
      <c r="I56" s="167"/>
      <c r="J56" s="168"/>
      <c r="K56" s="168"/>
    </row>
    <row r="57" spans="1:11" s="8" customFormat="1" x14ac:dyDescent="0.2">
      <c r="A57" s="10">
        <v>17840</v>
      </c>
      <c r="B57" s="11">
        <v>42283</v>
      </c>
      <c r="C57" s="12">
        <v>70.36</v>
      </c>
      <c r="D57" s="12">
        <v>5.36</v>
      </c>
      <c r="E57" s="13"/>
      <c r="H57" s="169"/>
      <c r="I57" s="167"/>
      <c r="J57" s="168"/>
      <c r="K57" s="168"/>
    </row>
    <row r="58" spans="1:11" s="8" customFormat="1" x14ac:dyDescent="0.2">
      <c r="A58" s="10">
        <v>17841</v>
      </c>
      <c r="B58" s="11">
        <v>42283</v>
      </c>
      <c r="C58" s="12">
        <v>8</v>
      </c>
      <c r="D58" s="12">
        <v>0.61</v>
      </c>
      <c r="E58" s="17"/>
      <c r="H58" s="169"/>
      <c r="I58" s="167"/>
      <c r="J58" s="168"/>
      <c r="K58" s="168"/>
    </row>
    <row r="59" spans="1:11" s="8" customFormat="1" x14ac:dyDescent="0.2">
      <c r="A59" s="10">
        <v>17842</v>
      </c>
      <c r="B59" s="11">
        <v>42283</v>
      </c>
      <c r="C59" s="12">
        <v>21.65</v>
      </c>
      <c r="D59" s="12">
        <v>1.65</v>
      </c>
      <c r="E59" s="15" t="s">
        <v>11</v>
      </c>
      <c r="H59" s="167"/>
      <c r="I59" s="167"/>
      <c r="J59" s="168"/>
      <c r="K59" s="168"/>
    </row>
    <row r="60" spans="1:11" s="8" customFormat="1" x14ac:dyDescent="0.2">
      <c r="A60" s="10">
        <v>17843</v>
      </c>
      <c r="B60" s="11">
        <v>42283</v>
      </c>
      <c r="C60" s="12">
        <v>5</v>
      </c>
      <c r="D60" s="12"/>
      <c r="E60" s="13" t="s">
        <v>8</v>
      </c>
      <c r="F60" s="18"/>
      <c r="G60" s="19"/>
      <c r="H60" s="169"/>
      <c r="I60" s="167"/>
      <c r="J60" s="168"/>
      <c r="K60" s="168"/>
    </row>
    <row r="61" spans="1:11" s="8" customFormat="1" x14ac:dyDescent="0.2">
      <c r="A61" s="10">
        <v>17844</v>
      </c>
      <c r="B61" s="11">
        <v>42283</v>
      </c>
      <c r="C61" s="12">
        <v>37.18</v>
      </c>
      <c r="D61" s="12"/>
      <c r="E61" s="13" t="s">
        <v>8</v>
      </c>
      <c r="F61" s="18"/>
      <c r="G61" s="19"/>
      <c r="H61" s="169"/>
      <c r="I61" s="167"/>
      <c r="J61" s="168"/>
      <c r="K61" s="168"/>
    </row>
    <row r="62" spans="1:11" s="8" customFormat="1" x14ac:dyDescent="0.2">
      <c r="A62" s="10">
        <v>17845</v>
      </c>
      <c r="B62" s="11">
        <v>42283</v>
      </c>
      <c r="C62" s="12">
        <v>11.99</v>
      </c>
      <c r="D62" s="12">
        <v>0.91</v>
      </c>
      <c r="E62" s="17"/>
      <c r="H62" s="169"/>
      <c r="I62" s="167"/>
      <c r="J62" s="168"/>
      <c r="K62" s="168"/>
    </row>
    <row r="63" spans="1:11" s="8" customFormat="1" x14ac:dyDescent="0.2">
      <c r="A63" s="10">
        <v>17846</v>
      </c>
      <c r="B63" s="11">
        <v>42283</v>
      </c>
      <c r="C63" s="12">
        <v>306.85000000000002</v>
      </c>
      <c r="D63" s="12">
        <v>23.39</v>
      </c>
      <c r="E63" s="15" t="s">
        <v>11</v>
      </c>
      <c r="H63" s="167"/>
      <c r="I63" s="167"/>
      <c r="J63" s="168"/>
      <c r="K63" s="168"/>
    </row>
    <row r="64" spans="1:11" s="8" customFormat="1" x14ac:dyDescent="0.2">
      <c r="A64" s="10">
        <v>17847</v>
      </c>
      <c r="B64" s="11">
        <v>42283</v>
      </c>
      <c r="C64" s="12">
        <v>19.43</v>
      </c>
      <c r="D64" s="12">
        <v>1.48</v>
      </c>
      <c r="E64" s="17"/>
      <c r="F64" s="18"/>
      <c r="G64" s="19"/>
      <c r="H64" s="169"/>
      <c r="I64" s="167"/>
      <c r="J64" s="168"/>
      <c r="K64" s="168"/>
    </row>
    <row r="65" spans="1:11" s="8" customFormat="1" x14ac:dyDescent="0.2">
      <c r="A65" s="10">
        <v>17848</v>
      </c>
      <c r="B65" s="11">
        <v>42283</v>
      </c>
      <c r="C65" s="12">
        <v>32.479999999999997</v>
      </c>
      <c r="D65" s="12">
        <v>2.48</v>
      </c>
      <c r="E65" s="17"/>
      <c r="H65" s="169"/>
      <c r="I65" s="167"/>
      <c r="J65" s="168"/>
      <c r="K65" s="168"/>
    </row>
    <row r="66" spans="1:11" s="8" customFormat="1" x14ac:dyDescent="0.2">
      <c r="A66" s="10">
        <v>17849</v>
      </c>
      <c r="B66" s="11">
        <v>42283</v>
      </c>
      <c r="C66" s="12">
        <v>26.3</v>
      </c>
      <c r="D66" s="12">
        <v>2</v>
      </c>
      <c r="E66" s="15" t="s">
        <v>11</v>
      </c>
      <c r="H66" s="167"/>
      <c r="I66" s="167"/>
      <c r="J66" s="168"/>
      <c r="K66" s="168"/>
    </row>
    <row r="67" spans="1:11" s="8" customFormat="1" x14ac:dyDescent="0.2">
      <c r="A67" s="10">
        <v>17850</v>
      </c>
      <c r="B67" s="11">
        <v>42283</v>
      </c>
      <c r="C67" s="12">
        <v>200</v>
      </c>
      <c r="D67" s="12"/>
      <c r="E67" s="13" t="s">
        <v>6</v>
      </c>
      <c r="F67" s="34">
        <f>+C53+C54+C59+C63+C66</f>
        <v>386.55</v>
      </c>
      <c r="G67" s="34">
        <v>383.37</v>
      </c>
      <c r="H67" s="169"/>
      <c r="I67" s="167"/>
      <c r="J67" s="168"/>
      <c r="K67" s="168"/>
    </row>
    <row r="68" spans="1:11" s="8" customFormat="1" x14ac:dyDescent="0.2">
      <c r="A68" s="10">
        <v>17851</v>
      </c>
      <c r="B68" s="11">
        <v>42284</v>
      </c>
      <c r="C68" s="12">
        <v>32.479999999999997</v>
      </c>
      <c r="D68" s="12">
        <v>2.48</v>
      </c>
      <c r="E68" s="15" t="s">
        <v>11</v>
      </c>
      <c r="F68" s="21"/>
      <c r="G68" s="22"/>
      <c r="H68" s="167"/>
      <c r="I68" s="167"/>
      <c r="J68" s="168"/>
      <c r="K68" s="168"/>
    </row>
    <row r="69" spans="1:11" s="8" customFormat="1" x14ac:dyDescent="0.2">
      <c r="A69" s="10">
        <v>17852</v>
      </c>
      <c r="B69" s="11">
        <v>42284</v>
      </c>
      <c r="C69" s="12">
        <v>18.349999999999998</v>
      </c>
      <c r="D69" s="12">
        <v>1.4</v>
      </c>
      <c r="E69" s="15" t="s">
        <v>11</v>
      </c>
      <c r="F69" s="21"/>
      <c r="G69" s="22"/>
      <c r="H69" s="167"/>
      <c r="I69" s="167"/>
      <c r="J69" s="168"/>
      <c r="K69" s="168"/>
    </row>
    <row r="70" spans="1:11" s="8" customFormat="1" x14ac:dyDescent="0.2">
      <c r="A70" s="10">
        <v>17853</v>
      </c>
      <c r="B70" s="11">
        <v>42284</v>
      </c>
      <c r="C70" s="12">
        <v>15</v>
      </c>
      <c r="D70" s="12">
        <v>1.1399999999999999</v>
      </c>
      <c r="E70" s="15" t="s">
        <v>11</v>
      </c>
      <c r="H70" s="167"/>
      <c r="I70" s="167"/>
      <c r="J70" s="168"/>
      <c r="K70" s="168"/>
    </row>
    <row r="71" spans="1:11" s="8" customFormat="1" x14ac:dyDescent="0.2">
      <c r="A71" s="10">
        <v>17854</v>
      </c>
      <c r="B71" s="11">
        <v>42284</v>
      </c>
      <c r="C71" s="12">
        <v>8</v>
      </c>
      <c r="D71" s="12">
        <v>0.61</v>
      </c>
      <c r="E71" s="15" t="s">
        <v>11</v>
      </c>
      <c r="H71" s="167"/>
      <c r="I71" s="167"/>
      <c r="J71" s="168"/>
      <c r="K71" s="168"/>
    </row>
    <row r="72" spans="1:11" s="8" customFormat="1" x14ac:dyDescent="0.2">
      <c r="A72" s="10">
        <v>17855</v>
      </c>
      <c r="B72" s="11">
        <v>42284</v>
      </c>
      <c r="C72" s="12">
        <v>1.1400000000000001</v>
      </c>
      <c r="D72" s="12">
        <v>0.09</v>
      </c>
      <c r="E72" s="17"/>
      <c r="H72" s="169"/>
      <c r="I72" s="167"/>
      <c r="J72" s="168"/>
      <c r="K72" s="168"/>
    </row>
    <row r="73" spans="1:11" s="8" customFormat="1" x14ac:dyDescent="0.2">
      <c r="A73" s="10">
        <v>17856</v>
      </c>
      <c r="B73" s="11">
        <v>42284</v>
      </c>
      <c r="C73" s="12">
        <v>20</v>
      </c>
      <c r="D73" s="12">
        <v>1.52</v>
      </c>
      <c r="E73" s="15" t="s">
        <v>11</v>
      </c>
      <c r="H73" s="167"/>
      <c r="I73" s="167"/>
      <c r="J73" s="168"/>
      <c r="K73" s="168"/>
    </row>
    <row r="74" spans="1:11" s="8" customFormat="1" x14ac:dyDescent="0.2">
      <c r="A74" s="10">
        <v>17857</v>
      </c>
      <c r="B74" s="11">
        <v>42284</v>
      </c>
      <c r="C74" s="12">
        <v>117</v>
      </c>
      <c r="D74" s="12"/>
      <c r="E74" s="13" t="s">
        <v>472</v>
      </c>
      <c r="H74" s="169"/>
      <c r="I74" s="167"/>
      <c r="J74" s="168"/>
      <c r="K74" s="168"/>
    </row>
    <row r="75" spans="1:11" s="8" customFormat="1" x14ac:dyDescent="0.2">
      <c r="A75" s="10">
        <v>17858</v>
      </c>
      <c r="B75" s="11">
        <v>42284</v>
      </c>
      <c r="C75" s="12">
        <v>200.37</v>
      </c>
      <c r="D75" s="12">
        <v>15.27</v>
      </c>
      <c r="E75" s="15" t="s">
        <v>11</v>
      </c>
      <c r="H75" s="167"/>
      <c r="I75" s="167"/>
      <c r="J75" s="168"/>
      <c r="K75" s="168"/>
    </row>
    <row r="76" spans="1:11" s="8" customFormat="1" x14ac:dyDescent="0.2">
      <c r="A76" s="10">
        <v>17859</v>
      </c>
      <c r="B76" s="11">
        <v>42284</v>
      </c>
      <c r="C76" s="12">
        <v>266.19</v>
      </c>
      <c r="D76" s="12">
        <v>20.29</v>
      </c>
      <c r="E76" s="15"/>
      <c r="H76" s="167"/>
      <c r="I76" s="167"/>
      <c r="J76" s="168"/>
      <c r="K76" s="168"/>
    </row>
    <row r="77" spans="1:11" s="8" customFormat="1" x14ac:dyDescent="0.2">
      <c r="A77" s="10">
        <v>17860</v>
      </c>
      <c r="B77" s="11">
        <v>42284</v>
      </c>
      <c r="C77" s="12">
        <v>521.71</v>
      </c>
      <c r="D77" s="12">
        <v>39.76</v>
      </c>
      <c r="E77" s="15" t="s">
        <v>473</v>
      </c>
      <c r="H77" s="167"/>
      <c r="I77" s="167"/>
      <c r="J77" s="168"/>
      <c r="K77" s="168"/>
    </row>
    <row r="78" spans="1:11" s="8" customFormat="1" x14ac:dyDescent="0.2">
      <c r="A78" s="10">
        <v>17861</v>
      </c>
      <c r="B78" s="11">
        <v>42284</v>
      </c>
      <c r="C78" s="12">
        <v>25.44</v>
      </c>
      <c r="D78" s="12">
        <v>1.94</v>
      </c>
      <c r="E78" s="15" t="s">
        <v>11</v>
      </c>
      <c r="F78" s="34">
        <f>+C69+C70+C71+C73+C75+200+C78</f>
        <v>487.16</v>
      </c>
      <c r="G78" s="34">
        <v>480.02</v>
      </c>
      <c r="H78" s="118"/>
      <c r="I78" s="167"/>
      <c r="J78" s="168"/>
      <c r="K78" s="168"/>
    </row>
    <row r="79" spans="1:11" s="8" customFormat="1" x14ac:dyDescent="0.2">
      <c r="A79" s="10">
        <v>17862</v>
      </c>
      <c r="B79" s="11">
        <v>42285</v>
      </c>
      <c r="C79" s="12">
        <v>2.7</v>
      </c>
      <c r="D79" s="12">
        <v>0.21</v>
      </c>
      <c r="E79" s="17"/>
      <c r="H79" s="121"/>
      <c r="I79" s="167"/>
      <c r="J79" s="168"/>
      <c r="K79" s="168"/>
    </row>
    <row r="80" spans="1:11" s="8" customFormat="1" x14ac:dyDescent="0.2">
      <c r="A80" s="10">
        <v>17863</v>
      </c>
      <c r="B80" s="11">
        <v>42285</v>
      </c>
      <c r="C80" s="12">
        <v>216</v>
      </c>
      <c r="D80" s="12">
        <v>16.46</v>
      </c>
      <c r="E80" s="15"/>
      <c r="F80" s="21"/>
      <c r="G80" s="22"/>
      <c r="H80" s="118"/>
      <c r="I80" s="167"/>
      <c r="J80" s="168"/>
      <c r="K80" s="168"/>
    </row>
    <row r="81" spans="1:11" s="8" customFormat="1" x14ac:dyDescent="0.2">
      <c r="A81" s="10">
        <v>17864</v>
      </c>
      <c r="B81" s="11">
        <v>42285</v>
      </c>
      <c r="C81" s="12">
        <v>43.3</v>
      </c>
      <c r="D81" s="12">
        <v>3.3</v>
      </c>
      <c r="E81" s="13"/>
      <c r="F81" s="18"/>
      <c r="G81" s="19"/>
      <c r="H81" s="121"/>
      <c r="I81" s="167"/>
      <c r="J81" s="168"/>
      <c r="K81" s="168"/>
    </row>
    <row r="82" spans="1:11" s="8" customFormat="1" x14ac:dyDescent="0.2">
      <c r="A82" s="10">
        <v>17865</v>
      </c>
      <c r="B82" s="11">
        <v>42285</v>
      </c>
      <c r="C82" s="12">
        <v>741.51</v>
      </c>
      <c r="D82" s="12">
        <v>56.51</v>
      </c>
      <c r="E82" s="15" t="s">
        <v>11</v>
      </c>
      <c r="H82" s="118"/>
      <c r="I82" s="167"/>
      <c r="J82" s="168"/>
      <c r="K82" s="168"/>
    </row>
    <row r="83" spans="1:11" s="8" customFormat="1" x14ac:dyDescent="0.2">
      <c r="A83" s="10">
        <v>17866</v>
      </c>
      <c r="B83" s="11">
        <v>42285</v>
      </c>
      <c r="C83" s="12">
        <v>10</v>
      </c>
      <c r="D83" s="12"/>
      <c r="E83" s="13" t="s">
        <v>77</v>
      </c>
      <c r="H83" s="121"/>
      <c r="I83" s="167"/>
      <c r="J83" s="168"/>
      <c r="K83" s="168"/>
    </row>
    <row r="84" spans="1:11" s="8" customFormat="1" x14ac:dyDescent="0.2">
      <c r="A84" s="10">
        <v>17867</v>
      </c>
      <c r="B84" s="11">
        <v>42285</v>
      </c>
      <c r="C84" s="12">
        <v>24.63</v>
      </c>
      <c r="D84" s="12">
        <v>1.88</v>
      </c>
      <c r="E84" s="17"/>
      <c r="H84" s="121"/>
      <c r="I84" s="167"/>
      <c r="J84" s="168"/>
      <c r="K84" s="168"/>
    </row>
    <row r="85" spans="1:11" s="8" customFormat="1" x14ac:dyDescent="0.2">
      <c r="A85" s="10">
        <v>17868</v>
      </c>
      <c r="B85" s="11">
        <v>42285</v>
      </c>
      <c r="C85" s="12">
        <v>296.61</v>
      </c>
      <c r="D85" s="12">
        <v>22.61</v>
      </c>
      <c r="E85" s="15" t="s">
        <v>26</v>
      </c>
      <c r="H85" s="118"/>
      <c r="I85" s="167"/>
      <c r="J85" s="168"/>
      <c r="K85" s="168"/>
    </row>
    <row r="86" spans="1:11" s="8" customFormat="1" x14ac:dyDescent="0.2">
      <c r="A86" s="10">
        <v>17869</v>
      </c>
      <c r="B86" s="11">
        <v>42285</v>
      </c>
      <c r="C86" s="12">
        <v>360</v>
      </c>
      <c r="D86" s="12">
        <v>27.44</v>
      </c>
      <c r="E86" s="15" t="s">
        <v>21</v>
      </c>
      <c r="H86" s="118"/>
      <c r="I86" s="167"/>
      <c r="J86" s="168"/>
      <c r="K86" s="168"/>
    </row>
    <row r="87" spans="1:11" s="8" customFormat="1" x14ac:dyDescent="0.2">
      <c r="A87" s="10">
        <v>17870</v>
      </c>
      <c r="B87" s="11">
        <v>42285</v>
      </c>
      <c r="C87" s="12">
        <v>10.83</v>
      </c>
      <c r="D87" s="12">
        <v>0.83</v>
      </c>
      <c r="E87" s="17"/>
      <c r="H87" s="121"/>
      <c r="I87" s="167"/>
      <c r="J87" s="168"/>
      <c r="K87" s="168"/>
    </row>
    <row r="88" spans="1:11" s="8" customFormat="1" x14ac:dyDescent="0.2">
      <c r="A88" s="10">
        <v>17871</v>
      </c>
      <c r="B88" s="11">
        <v>42285</v>
      </c>
      <c r="C88" s="12">
        <v>32.479999999999997</v>
      </c>
      <c r="D88" s="12">
        <v>2.48</v>
      </c>
      <c r="E88" s="17"/>
      <c r="F88" s="34">
        <f>C55+C82</f>
        <v>825.95</v>
      </c>
      <c r="G88" s="34">
        <v>822.5</v>
      </c>
      <c r="H88" s="121"/>
      <c r="I88" s="167"/>
      <c r="J88" s="168"/>
      <c r="K88" s="168"/>
    </row>
    <row r="89" spans="1:11" s="8" customFormat="1" x14ac:dyDescent="0.2">
      <c r="A89" s="10">
        <v>17872</v>
      </c>
      <c r="B89" s="11">
        <v>42286</v>
      </c>
      <c r="C89" s="12">
        <v>102.62</v>
      </c>
      <c r="D89" s="12">
        <v>7.82</v>
      </c>
      <c r="E89" s="15" t="s">
        <v>11</v>
      </c>
      <c r="H89" s="118"/>
      <c r="I89" s="167"/>
      <c r="J89" s="168"/>
      <c r="K89" s="168"/>
    </row>
    <row r="90" spans="1:11" s="8" customFormat="1" x14ac:dyDescent="0.2">
      <c r="A90" s="10">
        <v>17873</v>
      </c>
      <c r="B90" s="11">
        <v>42286</v>
      </c>
      <c r="C90" s="12">
        <v>31</v>
      </c>
      <c r="D90" s="12"/>
      <c r="E90" s="15" t="s">
        <v>25</v>
      </c>
      <c r="H90" s="118"/>
      <c r="I90" s="167"/>
      <c r="J90" s="168"/>
      <c r="K90" s="168"/>
    </row>
    <row r="91" spans="1:11" s="8" customFormat="1" x14ac:dyDescent="0.2">
      <c r="A91" s="10">
        <v>17874</v>
      </c>
      <c r="B91" s="11">
        <v>42286</v>
      </c>
      <c r="C91" s="12">
        <v>235</v>
      </c>
      <c r="D91" s="12">
        <v>17.91</v>
      </c>
      <c r="E91" s="17"/>
      <c r="H91" s="121"/>
      <c r="I91" s="167"/>
      <c r="J91" s="168"/>
      <c r="K91" s="168"/>
    </row>
    <row r="92" spans="1:11" s="8" customFormat="1" x14ac:dyDescent="0.2">
      <c r="A92" s="10">
        <v>17875</v>
      </c>
      <c r="B92" s="11">
        <v>42286</v>
      </c>
      <c r="C92" s="12">
        <v>64.95</v>
      </c>
      <c r="D92" s="12">
        <v>4.95</v>
      </c>
      <c r="E92" s="17"/>
      <c r="H92" s="121"/>
      <c r="I92" s="167"/>
      <c r="J92" s="168"/>
      <c r="K92" s="168"/>
    </row>
    <row r="93" spans="1:11" s="8" customFormat="1" x14ac:dyDescent="0.2">
      <c r="A93" s="10">
        <v>17876</v>
      </c>
      <c r="B93" s="11">
        <v>42286</v>
      </c>
      <c r="C93" s="12">
        <v>46.49</v>
      </c>
      <c r="D93" s="12">
        <v>3.54</v>
      </c>
      <c r="E93" s="15" t="s">
        <v>11</v>
      </c>
      <c r="H93" s="118"/>
      <c r="I93" s="167"/>
      <c r="J93" s="168"/>
      <c r="K93" s="168"/>
    </row>
    <row r="94" spans="1:11" s="8" customFormat="1" x14ac:dyDescent="0.2">
      <c r="A94" s="10">
        <v>17877</v>
      </c>
      <c r="B94" s="11">
        <v>42286</v>
      </c>
      <c r="C94" s="12">
        <v>9.69</v>
      </c>
      <c r="D94" s="12">
        <v>0.74</v>
      </c>
      <c r="E94" s="17"/>
      <c r="H94" s="121"/>
      <c r="I94" s="167"/>
      <c r="J94" s="168"/>
      <c r="K94" s="168"/>
    </row>
    <row r="95" spans="1:11" s="8" customFormat="1" x14ac:dyDescent="0.2">
      <c r="A95" s="10">
        <v>17878</v>
      </c>
      <c r="B95" s="11">
        <v>42286</v>
      </c>
      <c r="C95" s="12">
        <v>637.29</v>
      </c>
      <c r="D95" s="12"/>
      <c r="E95" s="15" t="s">
        <v>26</v>
      </c>
      <c r="H95" s="118"/>
      <c r="I95" s="167"/>
      <c r="J95" s="168"/>
      <c r="K95" s="168"/>
    </row>
    <row r="96" spans="1:11" s="8" customFormat="1" x14ac:dyDescent="0.2">
      <c r="A96" s="10">
        <v>17879</v>
      </c>
      <c r="B96" s="11">
        <v>42286</v>
      </c>
      <c r="C96" s="12">
        <v>16.239999999999998</v>
      </c>
      <c r="D96" s="12">
        <v>1.24</v>
      </c>
      <c r="E96" s="17"/>
      <c r="F96" s="34">
        <f>+C93+C68+C89</f>
        <v>181.59</v>
      </c>
      <c r="G96" s="34">
        <v>179.39</v>
      </c>
      <c r="H96" s="121"/>
      <c r="I96" s="167"/>
      <c r="J96" s="168"/>
      <c r="K96" s="168"/>
    </row>
    <row r="97" spans="1:11" s="8" customFormat="1" x14ac:dyDescent="0.2">
      <c r="A97" s="10">
        <v>17880</v>
      </c>
      <c r="B97" s="11">
        <v>42287</v>
      </c>
      <c r="C97" s="12">
        <v>309.05</v>
      </c>
      <c r="D97" s="12">
        <v>23.55</v>
      </c>
      <c r="E97" s="15" t="s">
        <v>11</v>
      </c>
      <c r="H97" s="118"/>
      <c r="I97" s="167"/>
      <c r="J97" s="168"/>
      <c r="K97" s="168"/>
    </row>
    <row r="98" spans="1:11" s="8" customFormat="1" x14ac:dyDescent="0.2">
      <c r="A98" s="10">
        <v>17881</v>
      </c>
      <c r="B98" s="11">
        <v>42287</v>
      </c>
      <c r="C98" s="12">
        <v>14.559999999999999</v>
      </c>
      <c r="D98" s="12">
        <v>1.1100000000000001</v>
      </c>
      <c r="E98" s="17"/>
      <c r="F98" s="18"/>
      <c r="G98" s="19"/>
      <c r="H98" s="121"/>
      <c r="I98" s="167"/>
      <c r="J98" s="168"/>
      <c r="K98" s="168"/>
    </row>
    <row r="99" spans="1:11" s="8" customFormat="1" x14ac:dyDescent="0.2">
      <c r="A99" s="10">
        <v>17882</v>
      </c>
      <c r="B99" s="11">
        <v>42287</v>
      </c>
      <c r="C99" s="12">
        <v>19.43</v>
      </c>
      <c r="D99" s="12">
        <v>1.48</v>
      </c>
      <c r="E99" s="17"/>
      <c r="H99" s="121"/>
      <c r="I99" s="167"/>
      <c r="J99" s="168"/>
      <c r="K99" s="168"/>
    </row>
    <row r="100" spans="1:11" s="8" customFormat="1" x14ac:dyDescent="0.2">
      <c r="A100" s="10">
        <v>17883</v>
      </c>
      <c r="B100" s="11">
        <v>42287</v>
      </c>
      <c r="C100" s="12">
        <v>7.5200000000000005</v>
      </c>
      <c r="D100" s="12">
        <v>0.56999999999999995</v>
      </c>
      <c r="E100" s="17"/>
      <c r="F100" s="18"/>
      <c r="G100" s="19"/>
      <c r="H100" s="121"/>
      <c r="I100" s="167"/>
      <c r="J100" s="168"/>
      <c r="K100" s="168"/>
    </row>
    <row r="101" spans="1:11" s="8" customFormat="1" x14ac:dyDescent="0.2">
      <c r="A101" s="10">
        <v>17884</v>
      </c>
      <c r="B101" s="11">
        <v>42287</v>
      </c>
      <c r="C101" s="12">
        <v>21.599999999999998</v>
      </c>
      <c r="D101" s="12">
        <v>1.65</v>
      </c>
      <c r="E101" s="17"/>
      <c r="H101" s="121"/>
      <c r="I101" s="167"/>
      <c r="J101" s="168"/>
      <c r="K101" s="168"/>
    </row>
    <row r="102" spans="1:11" s="8" customFormat="1" x14ac:dyDescent="0.2">
      <c r="A102" s="10">
        <v>17885</v>
      </c>
      <c r="B102" s="11">
        <v>42287</v>
      </c>
      <c r="C102" s="12">
        <v>86.6</v>
      </c>
      <c r="D102" s="12">
        <v>6.6</v>
      </c>
      <c r="E102" s="15" t="s">
        <v>11</v>
      </c>
      <c r="F102" s="21"/>
      <c r="G102" s="22"/>
      <c r="H102" s="118"/>
      <c r="I102" s="167"/>
      <c r="J102" s="168"/>
      <c r="K102" s="168"/>
    </row>
    <row r="103" spans="1:11" s="8" customFormat="1" x14ac:dyDescent="0.2">
      <c r="A103" s="10">
        <v>17886</v>
      </c>
      <c r="B103" s="11">
        <v>42287</v>
      </c>
      <c r="C103" s="12">
        <v>113.66</v>
      </c>
      <c r="D103" s="12">
        <v>8.66</v>
      </c>
      <c r="E103" s="15" t="s">
        <v>11</v>
      </c>
      <c r="H103" s="118"/>
      <c r="I103" s="167"/>
      <c r="J103" s="168"/>
      <c r="K103" s="168"/>
    </row>
    <row r="104" spans="1:11" s="8" customFormat="1" x14ac:dyDescent="0.2">
      <c r="A104" s="10">
        <v>17887</v>
      </c>
      <c r="B104" s="11">
        <v>42287</v>
      </c>
      <c r="C104" s="12">
        <v>36.81</v>
      </c>
      <c r="D104" s="12">
        <v>2.81</v>
      </c>
      <c r="E104" s="17"/>
      <c r="F104" s="18"/>
      <c r="G104" s="19"/>
      <c r="H104" s="121"/>
      <c r="I104" s="167"/>
      <c r="J104" s="168"/>
      <c r="K104" s="168"/>
    </row>
    <row r="105" spans="1:11" s="8" customFormat="1" x14ac:dyDescent="0.2">
      <c r="A105" s="10">
        <v>17888</v>
      </c>
      <c r="B105" s="11">
        <v>42287</v>
      </c>
      <c r="C105" s="12">
        <v>17.32</v>
      </c>
      <c r="D105" s="12">
        <v>1.32</v>
      </c>
      <c r="E105" s="15" t="s">
        <v>11</v>
      </c>
      <c r="F105" s="21"/>
      <c r="G105" s="22"/>
      <c r="H105" s="118"/>
      <c r="I105" s="167"/>
      <c r="J105" s="168"/>
      <c r="K105" s="168"/>
    </row>
    <row r="106" spans="1:11" s="8" customFormat="1" x14ac:dyDescent="0.2">
      <c r="A106" s="10">
        <v>17889</v>
      </c>
      <c r="B106" s="11">
        <v>42287</v>
      </c>
      <c r="C106" s="12">
        <v>16.18</v>
      </c>
      <c r="D106" s="12">
        <v>1.23</v>
      </c>
      <c r="E106" s="17"/>
      <c r="F106" s="34">
        <f>+C97+C102+C103+C105</f>
        <v>526.63</v>
      </c>
      <c r="G106" s="34">
        <v>521.38</v>
      </c>
      <c r="H106" s="121"/>
      <c r="I106" s="167"/>
      <c r="J106" s="168"/>
      <c r="K106" s="168"/>
    </row>
    <row r="107" spans="1:11" s="8" customFormat="1" x14ac:dyDescent="0.2">
      <c r="A107" s="10">
        <v>17890</v>
      </c>
      <c r="B107" s="11">
        <v>42289</v>
      </c>
      <c r="C107" s="12">
        <v>29.23</v>
      </c>
      <c r="D107" s="12">
        <v>2.23</v>
      </c>
      <c r="E107" s="17"/>
      <c r="H107" s="121"/>
      <c r="I107" s="167"/>
      <c r="J107" s="168"/>
      <c r="K107" s="168"/>
    </row>
    <row r="108" spans="1:11" s="8" customFormat="1" x14ac:dyDescent="0.2">
      <c r="A108" s="10">
        <v>17891</v>
      </c>
      <c r="B108" s="11">
        <v>42289</v>
      </c>
      <c r="C108" s="12">
        <v>64.95</v>
      </c>
      <c r="D108" s="12">
        <v>4.95</v>
      </c>
      <c r="E108" s="15" t="s">
        <v>11</v>
      </c>
      <c r="H108" s="118"/>
      <c r="I108" s="167"/>
      <c r="J108" s="168"/>
      <c r="K108" s="168"/>
    </row>
    <row r="109" spans="1:11" s="8" customFormat="1" x14ac:dyDescent="0.2">
      <c r="A109" s="10">
        <v>17892</v>
      </c>
      <c r="B109" s="11">
        <v>42289</v>
      </c>
      <c r="C109" s="12">
        <v>113.66</v>
      </c>
      <c r="D109" s="12">
        <v>8.66</v>
      </c>
      <c r="E109" s="17"/>
      <c r="H109" s="121"/>
      <c r="I109" s="167"/>
      <c r="J109" s="168"/>
      <c r="K109" s="168"/>
    </row>
    <row r="110" spans="1:11" s="8" customFormat="1" x14ac:dyDescent="0.2">
      <c r="A110" s="10">
        <v>17893</v>
      </c>
      <c r="B110" s="11">
        <v>42289</v>
      </c>
      <c r="C110" s="12">
        <v>73.56</v>
      </c>
      <c r="D110" s="12">
        <v>5.61</v>
      </c>
      <c r="E110" s="17"/>
      <c r="F110" s="18"/>
      <c r="G110" s="19"/>
      <c r="H110" s="121"/>
      <c r="I110" s="167"/>
      <c r="J110" s="168"/>
      <c r="K110" s="168"/>
    </row>
    <row r="111" spans="1:11" s="8" customFormat="1" x14ac:dyDescent="0.2">
      <c r="A111" s="10">
        <v>17894</v>
      </c>
      <c r="B111" s="11">
        <v>42289</v>
      </c>
      <c r="C111" s="12">
        <v>93.1</v>
      </c>
      <c r="D111" s="12">
        <v>7.1</v>
      </c>
      <c r="E111" s="15" t="s">
        <v>7</v>
      </c>
      <c r="H111" s="118"/>
      <c r="I111" s="167"/>
      <c r="J111" s="168"/>
      <c r="K111" s="168"/>
    </row>
    <row r="112" spans="1:11" s="8" customFormat="1" x14ac:dyDescent="0.2">
      <c r="A112" s="10">
        <v>17895</v>
      </c>
      <c r="B112" s="11">
        <v>42289</v>
      </c>
      <c r="C112" s="12"/>
      <c r="D112" s="12"/>
      <c r="E112" s="15" t="s">
        <v>474</v>
      </c>
      <c r="H112" s="118"/>
      <c r="I112" s="167"/>
      <c r="J112" s="168"/>
      <c r="K112" s="168"/>
    </row>
    <row r="113" spans="1:11" s="8" customFormat="1" x14ac:dyDescent="0.2">
      <c r="A113" s="10">
        <v>17896</v>
      </c>
      <c r="B113" s="11">
        <v>42289</v>
      </c>
      <c r="C113" s="12">
        <v>351.27</v>
      </c>
      <c r="D113" s="12">
        <v>26.77</v>
      </c>
      <c r="E113" s="15" t="s">
        <v>11</v>
      </c>
      <c r="H113" s="118"/>
      <c r="I113" s="167"/>
      <c r="J113" s="168"/>
      <c r="K113" s="168"/>
    </row>
    <row r="114" spans="1:11" s="8" customFormat="1" x14ac:dyDescent="0.2">
      <c r="A114" s="10">
        <v>17897</v>
      </c>
      <c r="B114" s="11">
        <v>42289</v>
      </c>
      <c r="C114" s="12">
        <v>10</v>
      </c>
      <c r="D114" s="12">
        <v>0.76</v>
      </c>
      <c r="E114" s="15" t="s">
        <v>11</v>
      </c>
      <c r="H114" s="118"/>
      <c r="I114" s="167"/>
      <c r="J114" s="168"/>
      <c r="K114" s="168"/>
    </row>
    <row r="115" spans="1:11" s="8" customFormat="1" x14ac:dyDescent="0.2">
      <c r="A115" s="10">
        <v>17898</v>
      </c>
      <c r="B115" s="11">
        <v>42289</v>
      </c>
      <c r="C115" s="12">
        <v>21.599999999999998</v>
      </c>
      <c r="D115" s="12">
        <v>1.65</v>
      </c>
      <c r="E115" s="17"/>
      <c r="F115" s="18"/>
      <c r="G115" s="19"/>
      <c r="H115" s="121"/>
      <c r="I115" s="167"/>
      <c r="J115" s="168"/>
      <c r="K115" s="168"/>
    </row>
    <row r="116" spans="1:11" s="8" customFormat="1" x14ac:dyDescent="0.2">
      <c r="A116" s="10">
        <v>17899</v>
      </c>
      <c r="B116" s="11">
        <v>42289</v>
      </c>
      <c r="C116" s="12">
        <v>10.72</v>
      </c>
      <c r="D116" s="12">
        <v>0.82</v>
      </c>
      <c r="E116" s="17"/>
      <c r="H116" s="121"/>
      <c r="I116" s="167"/>
      <c r="J116" s="168"/>
      <c r="K116" s="168"/>
    </row>
    <row r="117" spans="1:11" s="8" customFormat="1" x14ac:dyDescent="0.2">
      <c r="A117" s="10">
        <v>17900</v>
      </c>
      <c r="B117" s="11">
        <v>42289</v>
      </c>
      <c r="C117" s="12">
        <v>275</v>
      </c>
      <c r="D117" s="12"/>
      <c r="E117" s="15" t="s">
        <v>25</v>
      </c>
      <c r="F117" s="34">
        <f>+C108+80+C111+C114+C113</f>
        <v>599.31999999999994</v>
      </c>
      <c r="G117" s="34">
        <v>595.16999999999996</v>
      </c>
      <c r="H117" s="118"/>
      <c r="I117" s="167"/>
      <c r="J117" s="168"/>
      <c r="K117" s="168"/>
    </row>
    <row r="118" spans="1:11" s="8" customFormat="1" x14ac:dyDescent="0.2">
      <c r="A118" s="10">
        <v>17901</v>
      </c>
      <c r="B118" s="11">
        <v>42290</v>
      </c>
      <c r="C118" s="12">
        <v>62.79</v>
      </c>
      <c r="D118" s="12">
        <v>4.79</v>
      </c>
      <c r="E118" s="15" t="s">
        <v>13</v>
      </c>
      <c r="F118" s="170"/>
      <c r="G118" s="170"/>
      <c r="H118" s="118"/>
      <c r="I118" s="167"/>
      <c r="J118" s="168"/>
      <c r="K118" s="168"/>
    </row>
    <row r="119" spans="1:11" s="8" customFormat="1" x14ac:dyDescent="0.2">
      <c r="A119" s="10">
        <v>17902</v>
      </c>
      <c r="B119" s="11">
        <v>42290</v>
      </c>
      <c r="C119" s="12">
        <v>43.3</v>
      </c>
      <c r="D119" s="12">
        <v>3.3</v>
      </c>
      <c r="E119" s="15" t="s">
        <v>11</v>
      </c>
      <c r="F119" s="21"/>
      <c r="G119" s="22"/>
      <c r="H119" s="118"/>
      <c r="I119" s="167"/>
      <c r="J119" s="168"/>
      <c r="K119" s="168"/>
    </row>
    <row r="120" spans="1:11" s="8" customFormat="1" x14ac:dyDescent="0.2">
      <c r="A120" s="10">
        <v>17903</v>
      </c>
      <c r="B120" s="11">
        <v>42290</v>
      </c>
      <c r="C120" s="12">
        <v>16.239999999999998</v>
      </c>
      <c r="D120" s="12">
        <v>1.24</v>
      </c>
      <c r="E120" s="17"/>
      <c r="F120" s="170"/>
      <c r="G120" s="170"/>
      <c r="H120" s="121"/>
      <c r="I120" s="167"/>
      <c r="J120" s="168"/>
      <c r="K120" s="168"/>
    </row>
    <row r="121" spans="1:11" s="8" customFormat="1" x14ac:dyDescent="0.2">
      <c r="A121" s="10">
        <v>17904</v>
      </c>
      <c r="B121" s="11">
        <v>42290</v>
      </c>
      <c r="C121" s="12">
        <v>15.16</v>
      </c>
      <c r="D121" s="12">
        <v>1.1599999999999999</v>
      </c>
      <c r="E121" s="17"/>
      <c r="F121" s="18"/>
      <c r="G121" s="19"/>
      <c r="H121" s="121"/>
      <c r="I121" s="167"/>
      <c r="J121" s="168"/>
      <c r="K121" s="168"/>
    </row>
    <row r="122" spans="1:11" s="8" customFormat="1" x14ac:dyDescent="0.2">
      <c r="A122" s="10">
        <v>17905</v>
      </c>
      <c r="B122" s="11">
        <v>42290</v>
      </c>
      <c r="C122" s="12">
        <v>514.21</v>
      </c>
      <c r="D122" s="12">
        <v>38.81</v>
      </c>
      <c r="E122" s="15" t="s">
        <v>475</v>
      </c>
      <c r="H122" s="118"/>
      <c r="I122" s="167"/>
      <c r="J122" s="168"/>
      <c r="K122" s="168"/>
    </row>
    <row r="123" spans="1:11" s="8" customFormat="1" x14ac:dyDescent="0.2">
      <c r="A123" s="10">
        <v>17906</v>
      </c>
      <c r="B123" s="11">
        <v>42290</v>
      </c>
      <c r="C123" s="12">
        <v>6.62</v>
      </c>
      <c r="D123" s="12">
        <v>0.12</v>
      </c>
      <c r="E123" s="15" t="s">
        <v>11</v>
      </c>
      <c r="H123" s="118"/>
      <c r="I123" s="167"/>
      <c r="J123" s="168"/>
      <c r="K123" s="168"/>
    </row>
    <row r="124" spans="1:11" s="8" customFormat="1" x14ac:dyDescent="0.2">
      <c r="A124" s="10">
        <v>17907</v>
      </c>
      <c r="B124" s="11">
        <v>42290</v>
      </c>
      <c r="C124" s="12">
        <v>54.13</v>
      </c>
      <c r="D124" s="12">
        <v>4.13</v>
      </c>
      <c r="E124" s="17"/>
      <c r="H124" s="121"/>
      <c r="I124" s="167"/>
      <c r="J124" s="168"/>
      <c r="K124" s="168"/>
    </row>
    <row r="125" spans="1:11" s="8" customFormat="1" x14ac:dyDescent="0.2">
      <c r="A125" s="10">
        <v>17908</v>
      </c>
      <c r="B125" s="11">
        <v>42290</v>
      </c>
      <c r="C125" s="12">
        <v>37.89</v>
      </c>
      <c r="D125" s="12">
        <v>2.89</v>
      </c>
      <c r="E125" s="15" t="s">
        <v>11</v>
      </c>
      <c r="H125" s="118"/>
      <c r="I125" s="167"/>
      <c r="J125" s="168"/>
      <c r="K125" s="168"/>
    </row>
    <row r="126" spans="1:11" s="8" customFormat="1" x14ac:dyDescent="0.2">
      <c r="A126" s="10">
        <v>17909</v>
      </c>
      <c r="B126" s="11">
        <v>42290</v>
      </c>
      <c r="C126" s="12">
        <v>166.71</v>
      </c>
      <c r="D126" s="12">
        <v>12.71</v>
      </c>
      <c r="E126" s="15" t="s">
        <v>476</v>
      </c>
      <c r="F126" s="171"/>
      <c r="H126" s="118"/>
      <c r="I126" s="167"/>
      <c r="J126" s="168"/>
      <c r="K126" s="168"/>
    </row>
    <row r="127" spans="1:11" s="8" customFormat="1" x14ac:dyDescent="0.2">
      <c r="A127" s="10">
        <v>17910</v>
      </c>
      <c r="B127" s="11">
        <v>42290</v>
      </c>
      <c r="C127" s="12">
        <v>16.670000000000002</v>
      </c>
      <c r="D127" s="12">
        <v>1.27</v>
      </c>
      <c r="E127" s="17"/>
      <c r="F127" s="34">
        <f>+C118+C119+C123+50</f>
        <v>162.71</v>
      </c>
      <c r="G127" s="34">
        <v>160.02000000000001</v>
      </c>
      <c r="H127" s="121"/>
      <c r="I127" s="167"/>
      <c r="J127" s="168"/>
      <c r="K127" s="168"/>
    </row>
    <row r="128" spans="1:11" s="8" customFormat="1" x14ac:dyDescent="0.2">
      <c r="A128" s="10">
        <v>17911</v>
      </c>
      <c r="B128" s="11">
        <v>42291</v>
      </c>
      <c r="C128" s="12">
        <v>37.17</v>
      </c>
      <c r="D128" s="12"/>
      <c r="E128" s="15" t="s">
        <v>477</v>
      </c>
      <c r="H128" s="118"/>
      <c r="I128" s="167"/>
      <c r="J128" s="168"/>
      <c r="K128" s="168"/>
    </row>
    <row r="129" spans="1:11" s="8" customFormat="1" x14ac:dyDescent="0.2">
      <c r="A129" s="10">
        <v>17912</v>
      </c>
      <c r="B129" s="11">
        <v>42291</v>
      </c>
      <c r="C129" s="12">
        <v>51.96</v>
      </c>
      <c r="D129" s="12">
        <v>3.96</v>
      </c>
      <c r="E129" s="17"/>
      <c r="H129" s="121"/>
      <c r="I129" s="167"/>
      <c r="J129" s="168"/>
      <c r="K129" s="168"/>
    </row>
    <row r="130" spans="1:11" s="8" customFormat="1" x14ac:dyDescent="0.2">
      <c r="A130" s="10">
        <v>17913</v>
      </c>
      <c r="B130" s="11">
        <v>42291</v>
      </c>
      <c r="C130" s="12">
        <v>16.239999999999998</v>
      </c>
      <c r="D130" s="12">
        <v>1.24</v>
      </c>
      <c r="E130" s="13" t="s">
        <v>478</v>
      </c>
      <c r="H130" s="121"/>
      <c r="I130" s="167"/>
      <c r="J130" s="168"/>
      <c r="K130" s="168"/>
    </row>
    <row r="131" spans="1:11" s="8" customFormat="1" x14ac:dyDescent="0.2">
      <c r="A131" s="10">
        <v>17914</v>
      </c>
      <c r="B131" s="11">
        <v>42291</v>
      </c>
      <c r="C131" s="12">
        <v>295.52</v>
      </c>
      <c r="D131" s="12">
        <v>22.52</v>
      </c>
      <c r="E131" s="15"/>
      <c r="H131" s="118"/>
      <c r="I131" s="167"/>
      <c r="J131" s="168"/>
      <c r="K131" s="168"/>
    </row>
    <row r="132" spans="1:11" s="8" customFormat="1" x14ac:dyDescent="0.2">
      <c r="A132" s="10">
        <v>17915</v>
      </c>
      <c r="B132" s="11">
        <v>42291</v>
      </c>
      <c r="C132" s="12">
        <v>28.15</v>
      </c>
      <c r="D132" s="12">
        <v>2.15</v>
      </c>
      <c r="E132" s="15" t="s">
        <v>11</v>
      </c>
      <c r="F132" s="21"/>
      <c r="G132" s="22"/>
      <c r="H132" s="118"/>
      <c r="I132" s="167"/>
      <c r="J132" s="168"/>
      <c r="K132" s="168"/>
    </row>
    <row r="133" spans="1:11" s="8" customFormat="1" x14ac:dyDescent="0.2">
      <c r="A133" s="10">
        <v>17916</v>
      </c>
      <c r="B133" s="11">
        <v>42291</v>
      </c>
      <c r="C133" s="12">
        <v>18</v>
      </c>
      <c r="D133" s="12">
        <v>1.37</v>
      </c>
      <c r="E133" s="17"/>
      <c r="H133" s="121"/>
      <c r="I133" s="167"/>
      <c r="J133" s="168"/>
      <c r="K133" s="168"/>
    </row>
    <row r="134" spans="1:11" s="8" customFormat="1" x14ac:dyDescent="0.2">
      <c r="A134" s="10">
        <v>17917</v>
      </c>
      <c r="B134" s="11">
        <v>42291</v>
      </c>
      <c r="C134" s="12">
        <v>65.819999999999993</v>
      </c>
      <c r="D134" s="12">
        <v>5.0199999999999996</v>
      </c>
      <c r="E134" s="15" t="s">
        <v>7</v>
      </c>
      <c r="H134" s="118"/>
      <c r="I134" s="167"/>
      <c r="J134" s="168"/>
      <c r="K134" s="168"/>
    </row>
    <row r="135" spans="1:11" s="8" customFormat="1" x14ac:dyDescent="0.2">
      <c r="A135" s="10">
        <v>17918</v>
      </c>
      <c r="B135" s="11">
        <v>42291</v>
      </c>
      <c r="C135" s="12">
        <v>64.95</v>
      </c>
      <c r="D135" s="12">
        <v>4.95</v>
      </c>
      <c r="E135" s="15" t="s">
        <v>13</v>
      </c>
      <c r="H135" s="118"/>
      <c r="I135" s="167"/>
      <c r="J135" s="168"/>
      <c r="K135" s="168"/>
    </row>
    <row r="136" spans="1:11" s="8" customFormat="1" x14ac:dyDescent="0.2">
      <c r="A136" s="10">
        <v>17919</v>
      </c>
      <c r="B136" s="11">
        <v>42291</v>
      </c>
      <c r="C136" s="12">
        <v>139</v>
      </c>
      <c r="D136" s="12">
        <v>10.59</v>
      </c>
      <c r="E136" s="17"/>
      <c r="F136" s="34">
        <f>+C125+C132+C134+6.24+C128+C135+C126</f>
        <v>406.92999999999995</v>
      </c>
      <c r="G136" s="34">
        <v>401.55</v>
      </c>
      <c r="H136" s="121"/>
      <c r="I136" s="167"/>
      <c r="J136" s="168"/>
      <c r="K136" s="168"/>
    </row>
    <row r="137" spans="1:11" s="8" customFormat="1" x14ac:dyDescent="0.2">
      <c r="A137" s="10">
        <v>17920</v>
      </c>
      <c r="B137" s="11">
        <v>42292</v>
      </c>
      <c r="C137" s="12">
        <v>109.87</v>
      </c>
      <c r="D137" s="12">
        <v>8.3699999999999992</v>
      </c>
      <c r="E137" s="15" t="s">
        <v>11</v>
      </c>
      <c r="H137" s="118"/>
      <c r="I137" s="167"/>
      <c r="J137" s="168"/>
      <c r="K137" s="168"/>
    </row>
    <row r="138" spans="1:11" s="8" customFormat="1" x14ac:dyDescent="0.2">
      <c r="A138" s="10">
        <v>17921</v>
      </c>
      <c r="B138" s="11">
        <v>42292</v>
      </c>
      <c r="C138" s="12">
        <v>29.23</v>
      </c>
      <c r="D138" s="12">
        <v>2.23</v>
      </c>
      <c r="E138" s="17"/>
      <c r="F138" s="18"/>
      <c r="G138" s="19"/>
      <c r="H138" s="121"/>
      <c r="I138" s="167"/>
      <c r="J138" s="168"/>
      <c r="K138" s="168"/>
    </row>
    <row r="139" spans="1:11" s="8" customFormat="1" x14ac:dyDescent="0.2">
      <c r="A139" s="10">
        <v>17922</v>
      </c>
      <c r="B139" s="11">
        <v>42292</v>
      </c>
      <c r="C139" s="12">
        <v>7.0100000000000007</v>
      </c>
      <c r="D139" s="12">
        <v>0.53</v>
      </c>
      <c r="E139" s="15" t="s">
        <v>11</v>
      </c>
      <c r="H139" s="118"/>
      <c r="I139" s="167"/>
      <c r="J139" s="168"/>
      <c r="K139" s="168"/>
    </row>
    <row r="140" spans="1:11" s="8" customFormat="1" x14ac:dyDescent="0.2">
      <c r="A140" s="10">
        <v>17923</v>
      </c>
      <c r="B140" s="11">
        <v>42292</v>
      </c>
      <c r="C140" s="12">
        <v>313.38</v>
      </c>
      <c r="D140" s="12">
        <v>23.88</v>
      </c>
      <c r="E140" s="15" t="s">
        <v>11</v>
      </c>
      <c r="H140" s="118"/>
      <c r="I140" s="167"/>
      <c r="J140" s="168"/>
      <c r="K140" s="168"/>
    </row>
    <row r="141" spans="1:11" s="8" customFormat="1" x14ac:dyDescent="0.2">
      <c r="A141" s="10">
        <v>17924</v>
      </c>
      <c r="B141" s="11">
        <v>42292</v>
      </c>
      <c r="C141" s="12">
        <v>61.95</v>
      </c>
      <c r="D141" s="12">
        <v>3.2</v>
      </c>
      <c r="E141" s="15" t="s">
        <v>7</v>
      </c>
      <c r="H141" s="118"/>
      <c r="I141" s="167"/>
      <c r="J141" s="168"/>
      <c r="K141" s="168"/>
    </row>
    <row r="142" spans="1:11" s="8" customFormat="1" x14ac:dyDescent="0.2">
      <c r="A142" s="10">
        <v>17925</v>
      </c>
      <c r="B142" s="11">
        <v>42292</v>
      </c>
      <c r="C142" s="12">
        <v>83.820000000000007</v>
      </c>
      <c r="D142" s="12"/>
      <c r="E142" s="13" t="s">
        <v>365</v>
      </c>
      <c r="H142" s="121"/>
      <c r="I142" s="167"/>
      <c r="J142" s="168"/>
      <c r="K142" s="168"/>
    </row>
    <row r="143" spans="1:11" s="8" customFormat="1" x14ac:dyDescent="0.2">
      <c r="A143" s="10">
        <v>17926</v>
      </c>
      <c r="B143" s="11">
        <v>42292</v>
      </c>
      <c r="C143" s="12">
        <v>-233.19</v>
      </c>
      <c r="D143" s="12">
        <v>-17.77</v>
      </c>
      <c r="E143" s="15"/>
      <c r="H143" s="118"/>
      <c r="I143" s="167"/>
      <c r="J143" s="168"/>
      <c r="K143" s="168"/>
    </row>
    <row r="144" spans="1:11" s="8" customFormat="1" x14ac:dyDescent="0.2">
      <c r="A144" s="10">
        <v>17927</v>
      </c>
      <c r="B144" s="11">
        <v>42292</v>
      </c>
      <c r="C144" s="12">
        <v>142</v>
      </c>
      <c r="D144" s="12"/>
      <c r="E144" s="15" t="s">
        <v>271</v>
      </c>
      <c r="H144" s="118"/>
      <c r="I144" s="167"/>
      <c r="J144" s="168"/>
      <c r="K144" s="168"/>
    </row>
    <row r="145" spans="1:11" s="8" customFormat="1" x14ac:dyDescent="0.2">
      <c r="A145" s="10">
        <v>17928</v>
      </c>
      <c r="B145" s="11">
        <v>42292</v>
      </c>
      <c r="C145" s="12">
        <v>184.03</v>
      </c>
      <c r="D145" s="12">
        <v>14.03</v>
      </c>
      <c r="E145" s="15" t="s">
        <v>7</v>
      </c>
      <c r="H145" s="118"/>
      <c r="I145" s="167"/>
      <c r="J145" s="168"/>
      <c r="K145" s="168"/>
    </row>
    <row r="146" spans="1:11" s="8" customFormat="1" x14ac:dyDescent="0.2">
      <c r="A146" s="10">
        <v>17929</v>
      </c>
      <c r="B146" s="11">
        <v>42292</v>
      </c>
      <c r="C146" s="12">
        <v>124</v>
      </c>
      <c r="D146" s="12">
        <v>9.4499999999999993</v>
      </c>
      <c r="E146" s="17"/>
      <c r="F146" s="34">
        <f>+C137+C139+C141+C140+C145</f>
        <v>676.24</v>
      </c>
      <c r="G146" s="34">
        <v>664.34</v>
      </c>
      <c r="H146" s="121"/>
      <c r="I146" s="167"/>
      <c r="J146" s="168"/>
      <c r="K146" s="168"/>
    </row>
    <row r="147" spans="1:11" s="8" customFormat="1" x14ac:dyDescent="0.2">
      <c r="A147" s="10">
        <v>17930</v>
      </c>
      <c r="B147" s="11">
        <v>42293</v>
      </c>
      <c r="C147" s="12">
        <v>30.31</v>
      </c>
      <c r="D147" s="12">
        <v>2.31</v>
      </c>
      <c r="E147" s="15" t="s">
        <v>11</v>
      </c>
      <c r="H147" s="118"/>
      <c r="I147" s="167"/>
      <c r="J147" s="168"/>
      <c r="K147" s="168"/>
    </row>
    <row r="148" spans="1:11" s="8" customFormat="1" x14ac:dyDescent="0.2">
      <c r="A148" s="10">
        <v>17931</v>
      </c>
      <c r="B148" s="11">
        <v>42293</v>
      </c>
      <c r="C148" s="12">
        <v>64.900000000000006</v>
      </c>
      <c r="D148" s="12">
        <v>4.95</v>
      </c>
      <c r="E148" s="15" t="s">
        <v>11</v>
      </c>
      <c r="F148" s="21"/>
      <c r="G148" s="22"/>
      <c r="H148" s="118"/>
      <c r="I148" s="167"/>
      <c r="J148" s="168"/>
      <c r="K148" s="168"/>
    </row>
    <row r="149" spans="1:11" s="8" customFormat="1" x14ac:dyDescent="0.2">
      <c r="A149" s="10">
        <v>17932</v>
      </c>
      <c r="B149" s="11">
        <v>42293</v>
      </c>
      <c r="C149" s="12">
        <v>42</v>
      </c>
      <c r="D149" s="12"/>
      <c r="E149" s="13" t="s">
        <v>8</v>
      </c>
      <c r="F149" s="18"/>
      <c r="G149" s="19"/>
      <c r="H149" s="121"/>
      <c r="I149" s="167"/>
      <c r="J149" s="168"/>
      <c r="K149" s="168"/>
    </row>
    <row r="150" spans="1:11" s="8" customFormat="1" x14ac:dyDescent="0.2">
      <c r="A150" s="10">
        <v>17933</v>
      </c>
      <c r="B150" s="11">
        <v>42293</v>
      </c>
      <c r="C150" s="12">
        <v>10.83</v>
      </c>
      <c r="D150" s="12">
        <v>0.83</v>
      </c>
      <c r="E150" s="17"/>
      <c r="H150" s="121"/>
      <c r="I150" s="167"/>
      <c r="J150" s="168"/>
      <c r="K150" s="168"/>
    </row>
    <row r="151" spans="1:11" s="8" customFormat="1" x14ac:dyDescent="0.2">
      <c r="A151" s="10">
        <v>17934</v>
      </c>
      <c r="B151" s="11">
        <v>42293</v>
      </c>
      <c r="C151" s="12">
        <v>88</v>
      </c>
      <c r="D151" s="12">
        <v>6.71</v>
      </c>
      <c r="E151" s="15" t="s">
        <v>11</v>
      </c>
      <c r="F151" s="21"/>
      <c r="G151" s="22"/>
      <c r="H151" s="118"/>
      <c r="I151" s="167"/>
      <c r="J151" s="168"/>
      <c r="K151" s="168"/>
    </row>
    <row r="152" spans="1:11" s="8" customFormat="1" x14ac:dyDescent="0.2">
      <c r="A152" s="10">
        <v>17935</v>
      </c>
      <c r="B152" s="11">
        <v>42293</v>
      </c>
      <c r="C152" s="12">
        <v>53.53</v>
      </c>
      <c r="D152" s="12">
        <v>4.08</v>
      </c>
      <c r="E152" s="13"/>
      <c r="F152" s="18"/>
      <c r="G152" s="19"/>
      <c r="H152" s="121"/>
      <c r="I152" s="167"/>
      <c r="J152" s="168"/>
      <c r="K152" s="168"/>
    </row>
    <row r="153" spans="1:11" s="8" customFormat="1" x14ac:dyDescent="0.2">
      <c r="A153" s="10">
        <v>17936</v>
      </c>
      <c r="B153" s="11">
        <v>42293</v>
      </c>
      <c r="C153" s="12">
        <v>59.54</v>
      </c>
      <c r="D153" s="12">
        <v>4.54</v>
      </c>
      <c r="E153" s="15" t="s">
        <v>11</v>
      </c>
      <c r="H153" s="118"/>
      <c r="I153" s="167"/>
      <c r="J153" s="168"/>
      <c r="K153" s="168"/>
    </row>
    <row r="154" spans="1:11" s="8" customFormat="1" x14ac:dyDescent="0.2">
      <c r="A154" s="10">
        <v>17937</v>
      </c>
      <c r="B154" s="11">
        <v>42293</v>
      </c>
      <c r="C154" s="12">
        <v>33.56</v>
      </c>
      <c r="D154" s="12">
        <v>2.56</v>
      </c>
      <c r="E154" s="15" t="s">
        <v>11</v>
      </c>
      <c r="H154" s="118"/>
      <c r="I154" s="167"/>
      <c r="J154" s="168"/>
      <c r="K154" s="168"/>
    </row>
    <row r="155" spans="1:11" s="8" customFormat="1" x14ac:dyDescent="0.2">
      <c r="A155" s="10">
        <v>17938</v>
      </c>
      <c r="B155" s="11">
        <v>42293</v>
      </c>
      <c r="C155" s="12">
        <v>5.41</v>
      </c>
      <c r="D155" s="12">
        <v>0.41</v>
      </c>
      <c r="E155" s="17"/>
      <c r="H155" s="121"/>
      <c r="I155" s="167"/>
      <c r="J155" s="168"/>
      <c r="K155" s="168"/>
    </row>
    <row r="156" spans="1:11" s="8" customFormat="1" x14ac:dyDescent="0.2">
      <c r="A156" s="10">
        <v>17939</v>
      </c>
      <c r="B156" s="11">
        <v>42293</v>
      </c>
      <c r="C156" s="12">
        <v>102.84</v>
      </c>
      <c r="D156" s="12">
        <v>7.84</v>
      </c>
      <c r="E156" s="17"/>
      <c r="F156" s="18"/>
      <c r="G156" s="19"/>
      <c r="H156" s="121"/>
      <c r="I156" s="167"/>
      <c r="J156" s="168"/>
      <c r="K156" s="168"/>
    </row>
    <row r="157" spans="1:11" s="8" customFormat="1" x14ac:dyDescent="0.2">
      <c r="A157" s="10">
        <v>17940</v>
      </c>
      <c r="B157" s="11">
        <v>42293</v>
      </c>
      <c r="C157" s="12">
        <v>28.15</v>
      </c>
      <c r="D157" s="12">
        <v>2.15</v>
      </c>
      <c r="E157" s="17"/>
      <c r="H157" s="121"/>
      <c r="I157" s="167"/>
      <c r="J157" s="168"/>
      <c r="K157" s="168"/>
    </row>
    <row r="158" spans="1:11" s="8" customFormat="1" x14ac:dyDescent="0.2">
      <c r="A158" s="10">
        <v>17941</v>
      </c>
      <c r="B158" s="11">
        <v>42293</v>
      </c>
      <c r="C158" s="12">
        <v>82.27</v>
      </c>
      <c r="D158" s="12">
        <v>6.27</v>
      </c>
      <c r="E158" s="15" t="s">
        <v>11</v>
      </c>
      <c r="F158" s="34">
        <f>+C147+C148+C151+C153+C154+C34+C158</f>
        <v>374.82</v>
      </c>
      <c r="G158" s="34">
        <v>368.3</v>
      </c>
      <c r="H158" s="118"/>
      <c r="I158" s="167"/>
      <c r="J158" s="168"/>
      <c r="K158" s="168"/>
    </row>
    <row r="159" spans="1:11" s="8" customFormat="1" x14ac:dyDescent="0.2">
      <c r="A159" s="10">
        <v>17942</v>
      </c>
      <c r="B159" s="11">
        <v>42294</v>
      </c>
      <c r="C159" s="12">
        <v>282</v>
      </c>
      <c r="D159" s="12">
        <v>21.49</v>
      </c>
      <c r="E159" s="17"/>
      <c r="F159" s="18"/>
      <c r="G159" s="19"/>
      <c r="H159" s="121"/>
      <c r="I159" s="167"/>
      <c r="J159" s="168"/>
      <c r="K159" s="168"/>
    </row>
    <row r="160" spans="1:11" s="8" customFormat="1" x14ac:dyDescent="0.2">
      <c r="A160" s="10">
        <v>17943</v>
      </c>
      <c r="B160" s="11">
        <v>42294</v>
      </c>
      <c r="C160" s="12">
        <v>12.004925</v>
      </c>
      <c r="D160" s="12">
        <v>0.91492499999999999</v>
      </c>
      <c r="E160" s="17"/>
      <c r="H160" s="121"/>
      <c r="I160" s="167"/>
      <c r="J160" s="168"/>
      <c r="K160" s="168"/>
    </row>
    <row r="161" spans="1:11" s="8" customFormat="1" x14ac:dyDescent="0.2">
      <c r="A161" s="10">
        <v>17944</v>
      </c>
      <c r="B161" s="11">
        <v>42294</v>
      </c>
      <c r="C161" s="12">
        <v>139.58999999999997</v>
      </c>
      <c r="D161" s="12">
        <v>10.64</v>
      </c>
      <c r="E161" s="15" t="s">
        <v>11</v>
      </c>
      <c r="H161" s="118"/>
      <c r="I161" s="167"/>
      <c r="J161" s="168"/>
      <c r="K161" s="168"/>
    </row>
    <row r="162" spans="1:11" s="8" customFormat="1" x14ac:dyDescent="0.2">
      <c r="A162" s="10">
        <v>17945</v>
      </c>
      <c r="B162" s="11">
        <v>42294</v>
      </c>
      <c r="C162" s="12">
        <v>263.05</v>
      </c>
      <c r="D162" s="12">
        <v>20.05</v>
      </c>
      <c r="E162" s="15" t="s">
        <v>11</v>
      </c>
      <c r="F162" s="21"/>
      <c r="G162" s="22"/>
      <c r="H162" s="118"/>
      <c r="I162" s="167"/>
      <c r="J162" s="168"/>
      <c r="K162" s="168"/>
    </row>
    <row r="163" spans="1:11" s="8" customFormat="1" x14ac:dyDescent="0.2">
      <c r="A163" s="10">
        <v>17946</v>
      </c>
      <c r="B163" s="11">
        <v>42294</v>
      </c>
      <c r="C163" s="12">
        <v>306.89</v>
      </c>
      <c r="D163" s="12">
        <v>23.39</v>
      </c>
      <c r="E163" s="15" t="s">
        <v>11</v>
      </c>
      <c r="F163" s="21"/>
      <c r="G163" s="22"/>
      <c r="H163" s="118"/>
      <c r="I163" s="167"/>
      <c r="J163" s="168"/>
      <c r="K163" s="168"/>
    </row>
    <row r="164" spans="1:11" s="8" customFormat="1" x14ac:dyDescent="0.2">
      <c r="A164" s="10">
        <v>17947</v>
      </c>
      <c r="B164" s="11">
        <v>42294</v>
      </c>
      <c r="C164" s="12">
        <v>16.239999999999998</v>
      </c>
      <c r="D164" s="12">
        <v>1.24</v>
      </c>
      <c r="E164" s="15" t="s">
        <v>11</v>
      </c>
      <c r="F164" s="21"/>
      <c r="G164" s="22"/>
      <c r="H164" s="118"/>
      <c r="I164" s="167"/>
      <c r="J164" s="168"/>
      <c r="K164" s="168"/>
    </row>
    <row r="165" spans="1:11" s="8" customFormat="1" x14ac:dyDescent="0.2">
      <c r="A165" s="10">
        <v>17948</v>
      </c>
      <c r="B165" s="11">
        <v>42294</v>
      </c>
      <c r="C165" s="12">
        <v>10</v>
      </c>
      <c r="D165" s="12">
        <v>0.76</v>
      </c>
      <c r="E165" s="13"/>
      <c r="F165" s="18"/>
      <c r="G165" s="19"/>
      <c r="H165" s="121"/>
      <c r="I165" s="167"/>
      <c r="J165" s="168"/>
      <c r="K165" s="168"/>
    </row>
    <row r="166" spans="1:11" s="8" customFormat="1" x14ac:dyDescent="0.2">
      <c r="A166" s="10">
        <v>17949</v>
      </c>
      <c r="B166" s="11">
        <v>42294</v>
      </c>
      <c r="C166" s="12">
        <v>128.6</v>
      </c>
      <c r="D166" s="12">
        <v>9.8000000000000007</v>
      </c>
      <c r="E166" s="13"/>
      <c r="F166" s="18"/>
      <c r="G166" s="19"/>
      <c r="H166" s="121"/>
      <c r="I166" s="167"/>
      <c r="J166" s="168"/>
      <c r="K166" s="168"/>
    </row>
    <row r="167" spans="1:11" s="8" customFormat="1" x14ac:dyDescent="0.2">
      <c r="A167" s="10">
        <v>17950</v>
      </c>
      <c r="B167" s="11">
        <v>42294</v>
      </c>
      <c r="C167" s="12">
        <v>140.72999999999999</v>
      </c>
      <c r="D167" s="12">
        <v>10.73</v>
      </c>
      <c r="E167" s="13" t="s">
        <v>479</v>
      </c>
      <c r="H167" s="121"/>
      <c r="I167" s="167"/>
      <c r="J167" s="168"/>
      <c r="K167" s="168"/>
    </row>
    <row r="168" spans="1:11" s="8" customFormat="1" x14ac:dyDescent="0.2">
      <c r="A168" s="10">
        <v>17951</v>
      </c>
      <c r="B168" s="11">
        <v>42294</v>
      </c>
      <c r="C168" s="12">
        <v>37.89</v>
      </c>
      <c r="D168" s="12">
        <v>2.89</v>
      </c>
      <c r="E168" s="17"/>
      <c r="H168" s="121"/>
      <c r="I168" s="167"/>
      <c r="J168" s="168"/>
      <c r="K168" s="168"/>
    </row>
    <row r="169" spans="1:11" s="8" customFormat="1" x14ac:dyDescent="0.2">
      <c r="A169" s="10">
        <v>17952</v>
      </c>
      <c r="B169" s="11">
        <v>42294</v>
      </c>
      <c r="C169" s="12">
        <v>140.62</v>
      </c>
      <c r="D169" s="12">
        <v>10.72</v>
      </c>
      <c r="E169" s="15" t="s">
        <v>11</v>
      </c>
      <c r="H169" s="118"/>
      <c r="I169" s="167"/>
      <c r="J169" s="168"/>
      <c r="K169" s="168"/>
    </row>
    <row r="170" spans="1:11" s="8" customFormat="1" x14ac:dyDescent="0.2">
      <c r="A170" s="10">
        <v>17953</v>
      </c>
      <c r="B170" s="11">
        <v>42294</v>
      </c>
      <c r="C170" s="12">
        <v>5</v>
      </c>
      <c r="D170" s="12">
        <v>0.38</v>
      </c>
      <c r="E170" s="17"/>
      <c r="H170" s="121"/>
      <c r="I170" s="167"/>
      <c r="J170" s="168"/>
      <c r="K170" s="168"/>
    </row>
    <row r="171" spans="1:11" s="8" customFormat="1" x14ac:dyDescent="0.2">
      <c r="A171" s="10">
        <v>17954</v>
      </c>
      <c r="B171" s="11">
        <v>42294</v>
      </c>
      <c r="C171" s="12">
        <v>199</v>
      </c>
      <c r="D171" s="12"/>
      <c r="E171" s="13" t="s">
        <v>8</v>
      </c>
      <c r="F171" s="34">
        <f>+C161+C162+C164+70.73+C169+C163</f>
        <v>937.12</v>
      </c>
      <c r="G171" s="34">
        <v>932.01</v>
      </c>
      <c r="H171" s="121"/>
      <c r="I171" s="167"/>
      <c r="J171" s="168"/>
      <c r="K171" s="168"/>
    </row>
    <row r="172" spans="1:11" s="8" customFormat="1" x14ac:dyDescent="0.2">
      <c r="A172" s="10">
        <v>17955</v>
      </c>
      <c r="B172" s="11">
        <v>42296</v>
      </c>
      <c r="C172" s="12">
        <v>36.81</v>
      </c>
      <c r="D172" s="12">
        <v>2.81</v>
      </c>
      <c r="E172" s="15" t="s">
        <v>11</v>
      </c>
      <c r="H172" s="118"/>
      <c r="I172" s="167"/>
      <c r="J172" s="168"/>
      <c r="K172" s="168"/>
    </row>
    <row r="173" spans="1:11" s="8" customFormat="1" x14ac:dyDescent="0.2">
      <c r="A173" s="10">
        <v>17956</v>
      </c>
      <c r="B173" s="11">
        <v>42296</v>
      </c>
      <c r="C173" s="12">
        <v>221.79999999999998</v>
      </c>
      <c r="D173" s="12">
        <v>16.899999999999999</v>
      </c>
      <c r="E173" s="15" t="s">
        <v>7</v>
      </c>
      <c r="H173" s="118"/>
      <c r="I173" s="167"/>
      <c r="J173" s="168"/>
      <c r="K173" s="168"/>
    </row>
    <row r="174" spans="1:11" s="8" customFormat="1" x14ac:dyDescent="0.2">
      <c r="A174" s="10">
        <v>17957</v>
      </c>
      <c r="B174" s="11">
        <v>42296</v>
      </c>
      <c r="C174" s="12">
        <v>37.89</v>
      </c>
      <c r="D174" s="12">
        <v>2.89</v>
      </c>
      <c r="E174" s="15" t="s">
        <v>11</v>
      </c>
      <c r="F174" s="21"/>
      <c r="G174" s="22"/>
      <c r="H174" s="118"/>
      <c r="I174" s="167"/>
      <c r="J174" s="168"/>
      <c r="K174" s="168"/>
    </row>
    <row r="175" spans="1:11" s="8" customFormat="1" x14ac:dyDescent="0.2">
      <c r="A175" s="10">
        <v>17958</v>
      </c>
      <c r="B175" s="11">
        <v>42296</v>
      </c>
      <c r="C175" s="12">
        <v>147.22</v>
      </c>
      <c r="D175" s="12">
        <v>11.22</v>
      </c>
      <c r="E175" s="15" t="s">
        <v>11</v>
      </c>
      <c r="F175" s="21"/>
      <c r="G175" s="22"/>
      <c r="H175" s="118"/>
      <c r="I175" s="167"/>
      <c r="J175" s="168"/>
      <c r="K175" s="168"/>
    </row>
    <row r="176" spans="1:11" s="8" customFormat="1" x14ac:dyDescent="0.2">
      <c r="A176" s="10">
        <v>17959</v>
      </c>
      <c r="B176" s="11">
        <v>42296</v>
      </c>
      <c r="C176" s="12">
        <v>45.03</v>
      </c>
      <c r="D176" s="12">
        <v>3.43</v>
      </c>
      <c r="E176" s="15" t="s">
        <v>13</v>
      </c>
      <c r="H176" s="118"/>
      <c r="I176" s="167"/>
      <c r="J176" s="168"/>
      <c r="K176" s="168"/>
    </row>
    <row r="177" spans="1:11" s="8" customFormat="1" x14ac:dyDescent="0.2">
      <c r="A177" s="10">
        <v>17960</v>
      </c>
      <c r="B177" s="11">
        <v>42296</v>
      </c>
      <c r="C177" s="12">
        <v>10.83</v>
      </c>
      <c r="D177" s="12">
        <v>0.83</v>
      </c>
      <c r="E177" s="17"/>
      <c r="F177" s="18"/>
      <c r="G177" s="19"/>
      <c r="H177" s="121"/>
      <c r="I177" s="167"/>
      <c r="J177" s="168"/>
      <c r="K177" s="168"/>
    </row>
    <row r="178" spans="1:11" s="8" customFormat="1" x14ac:dyDescent="0.2">
      <c r="A178" s="10">
        <v>17961</v>
      </c>
      <c r="B178" s="11">
        <v>42296</v>
      </c>
      <c r="C178" s="12">
        <v>101.76</v>
      </c>
      <c r="D178" s="12">
        <v>7.76</v>
      </c>
      <c r="E178" s="15" t="s">
        <v>11</v>
      </c>
      <c r="H178" s="118"/>
      <c r="I178" s="167"/>
      <c r="J178" s="168"/>
      <c r="K178" s="168"/>
    </row>
    <row r="179" spans="1:11" s="8" customFormat="1" x14ac:dyDescent="0.2">
      <c r="A179" s="10">
        <v>17962</v>
      </c>
      <c r="B179" s="11">
        <v>42296</v>
      </c>
      <c r="C179" s="12">
        <v>8.61</v>
      </c>
      <c r="D179" s="12">
        <v>0.66</v>
      </c>
      <c r="E179" s="17"/>
      <c r="H179" s="121"/>
      <c r="I179" s="167"/>
      <c r="J179" s="168"/>
      <c r="K179" s="168"/>
    </row>
    <row r="180" spans="1:11" s="8" customFormat="1" x14ac:dyDescent="0.2">
      <c r="A180" s="10">
        <v>17963</v>
      </c>
      <c r="B180" s="11">
        <v>42296</v>
      </c>
      <c r="C180" s="12">
        <v>27.009999999999998</v>
      </c>
      <c r="D180" s="12">
        <v>2.06</v>
      </c>
      <c r="E180" s="17"/>
      <c r="F180" s="18"/>
      <c r="G180" s="19"/>
      <c r="H180" s="121"/>
      <c r="I180" s="167"/>
      <c r="J180" s="168"/>
      <c r="K180" s="168"/>
    </row>
    <row r="181" spans="1:11" s="8" customFormat="1" x14ac:dyDescent="0.2">
      <c r="A181" s="10">
        <v>17964</v>
      </c>
      <c r="B181" s="11">
        <v>42296</v>
      </c>
      <c r="C181" s="12">
        <v>250.6</v>
      </c>
      <c r="D181" s="12">
        <v>19.100000000000001</v>
      </c>
      <c r="E181" s="15" t="s">
        <v>11</v>
      </c>
      <c r="H181" s="118"/>
      <c r="I181" s="167"/>
      <c r="J181" s="168"/>
      <c r="K181" s="168"/>
    </row>
    <row r="182" spans="1:11" s="8" customFormat="1" x14ac:dyDescent="0.2">
      <c r="A182" s="10">
        <v>17965</v>
      </c>
      <c r="B182" s="11">
        <v>42296</v>
      </c>
      <c r="C182" s="12">
        <v>242.74</v>
      </c>
      <c r="D182" s="12">
        <v>33.74</v>
      </c>
      <c r="E182" s="13"/>
      <c r="F182" s="18"/>
      <c r="G182" s="19"/>
      <c r="H182" s="121"/>
      <c r="I182" s="167"/>
      <c r="J182" s="168"/>
      <c r="K182" s="168"/>
    </row>
    <row r="183" spans="1:11" s="8" customFormat="1" x14ac:dyDescent="0.2">
      <c r="A183" s="10">
        <v>17966</v>
      </c>
      <c r="B183" s="11">
        <v>42296</v>
      </c>
      <c r="C183" s="12">
        <v>10.72</v>
      </c>
      <c r="D183" s="12">
        <v>0.82</v>
      </c>
      <c r="E183" s="17"/>
      <c r="F183" s="34">
        <f>+C172+C174+C175+C173+C176+C178+C181</f>
        <v>841.11</v>
      </c>
      <c r="G183" s="34">
        <v>826.48</v>
      </c>
      <c r="H183" s="121"/>
      <c r="I183" s="167"/>
      <c r="J183" s="168"/>
      <c r="K183" s="168"/>
    </row>
    <row r="184" spans="1:11" s="8" customFormat="1" x14ac:dyDescent="0.2">
      <c r="A184" s="10">
        <v>17967</v>
      </c>
      <c r="B184" s="11">
        <v>42297</v>
      </c>
      <c r="C184" s="12">
        <v>205.35</v>
      </c>
      <c r="D184" s="12">
        <v>15.65</v>
      </c>
      <c r="E184" s="15" t="s">
        <v>11</v>
      </c>
      <c r="F184" s="21"/>
      <c r="G184" s="22"/>
      <c r="H184" s="118"/>
      <c r="I184" s="167"/>
      <c r="J184" s="168"/>
      <c r="K184" s="168"/>
    </row>
    <row r="185" spans="1:11" s="8" customFormat="1" x14ac:dyDescent="0.2">
      <c r="A185" s="10">
        <v>17968</v>
      </c>
      <c r="B185" s="11">
        <v>42297</v>
      </c>
      <c r="C185" s="12">
        <v>10</v>
      </c>
      <c r="D185" s="12"/>
      <c r="E185" s="15" t="s">
        <v>271</v>
      </c>
      <c r="H185" s="118"/>
      <c r="I185" s="167"/>
      <c r="J185" s="168"/>
      <c r="K185" s="168"/>
    </row>
    <row r="186" spans="1:11" s="8" customFormat="1" x14ac:dyDescent="0.2">
      <c r="A186" s="10">
        <v>17969</v>
      </c>
      <c r="B186" s="11">
        <v>42297</v>
      </c>
      <c r="C186" s="12">
        <v>75</v>
      </c>
      <c r="D186" s="12">
        <v>5.72</v>
      </c>
      <c r="E186" s="17"/>
      <c r="F186" s="18"/>
      <c r="G186" s="19"/>
      <c r="H186" s="121"/>
      <c r="I186" s="167"/>
      <c r="J186" s="168"/>
      <c r="K186" s="168"/>
    </row>
    <row r="187" spans="1:11" s="8" customFormat="1" x14ac:dyDescent="0.2">
      <c r="A187" s="10">
        <v>17970</v>
      </c>
      <c r="B187" s="11">
        <v>42297</v>
      </c>
      <c r="C187" s="12">
        <v>377.36</v>
      </c>
      <c r="D187" s="12">
        <v>28.76</v>
      </c>
      <c r="E187" s="15" t="s">
        <v>21</v>
      </c>
      <c r="H187" s="118"/>
      <c r="I187" s="167"/>
      <c r="J187" s="168"/>
      <c r="K187" s="168"/>
    </row>
    <row r="188" spans="1:11" s="8" customFormat="1" x14ac:dyDescent="0.2">
      <c r="A188" s="10">
        <v>17971</v>
      </c>
      <c r="B188" s="11">
        <v>42297</v>
      </c>
      <c r="C188" s="12">
        <v>24.9</v>
      </c>
      <c r="D188" s="12">
        <v>1.9</v>
      </c>
      <c r="E188" s="17"/>
      <c r="H188" s="121"/>
      <c r="I188" s="167"/>
      <c r="J188" s="168"/>
      <c r="K188" s="168"/>
    </row>
    <row r="189" spans="1:11" s="8" customFormat="1" x14ac:dyDescent="0.2">
      <c r="A189" s="10">
        <v>17972</v>
      </c>
      <c r="B189" s="11">
        <v>42297</v>
      </c>
      <c r="C189" s="12">
        <v>184</v>
      </c>
      <c r="D189" s="12">
        <v>14.02</v>
      </c>
      <c r="E189" s="17"/>
      <c r="H189" s="121"/>
      <c r="I189" s="167"/>
      <c r="J189" s="168"/>
      <c r="K189" s="168"/>
    </row>
    <row r="190" spans="1:11" x14ac:dyDescent="0.2">
      <c r="A190" s="10">
        <v>17973</v>
      </c>
      <c r="B190" s="11">
        <v>42297</v>
      </c>
      <c r="C190" s="12">
        <v>53.04</v>
      </c>
      <c r="D190" s="12">
        <v>4.04</v>
      </c>
      <c r="E190" s="17"/>
      <c r="F190" s="121"/>
      <c r="G190" s="121"/>
      <c r="H190" s="121"/>
      <c r="I190" s="98"/>
      <c r="J190" s="98"/>
      <c r="K190" s="150"/>
    </row>
    <row r="191" spans="1:11" x14ac:dyDescent="0.2">
      <c r="A191" s="10">
        <v>17974</v>
      </c>
      <c r="B191" s="11">
        <v>42297</v>
      </c>
      <c r="C191" s="12">
        <v>36.81</v>
      </c>
      <c r="D191" s="12">
        <v>2.81</v>
      </c>
      <c r="E191" s="15" t="s">
        <v>11</v>
      </c>
      <c r="F191" s="118"/>
      <c r="G191" s="118"/>
      <c r="H191" s="118"/>
      <c r="I191" s="118"/>
      <c r="J191" s="98"/>
      <c r="K191" s="150"/>
    </row>
    <row r="192" spans="1:11" x14ac:dyDescent="0.2">
      <c r="A192" s="10">
        <v>17975</v>
      </c>
      <c r="B192" s="11">
        <v>42297</v>
      </c>
      <c r="C192" s="12">
        <v>211.09</v>
      </c>
      <c r="D192" s="12">
        <v>16.09</v>
      </c>
      <c r="E192" s="15" t="s">
        <v>11</v>
      </c>
      <c r="H192" s="118"/>
      <c r="I192" s="118"/>
      <c r="J192" s="98"/>
      <c r="K192" s="150"/>
    </row>
    <row r="193" spans="1:11" x14ac:dyDescent="0.2">
      <c r="A193" s="10">
        <v>17976</v>
      </c>
      <c r="B193" s="11">
        <v>42297</v>
      </c>
      <c r="C193" s="12">
        <v>100</v>
      </c>
      <c r="D193" s="12"/>
      <c r="E193" s="15" t="s">
        <v>480</v>
      </c>
      <c r="F193" s="115"/>
      <c r="G193" s="115"/>
      <c r="H193" s="118"/>
      <c r="I193" s="118"/>
      <c r="J193" s="98"/>
      <c r="K193" s="150"/>
    </row>
    <row r="194" spans="1:11" x14ac:dyDescent="0.2">
      <c r="A194" s="10">
        <v>17977</v>
      </c>
      <c r="B194" s="11">
        <v>42297</v>
      </c>
      <c r="C194" s="12">
        <v>195.93</v>
      </c>
      <c r="D194" s="12">
        <v>14.93</v>
      </c>
      <c r="E194" s="15" t="s">
        <v>13</v>
      </c>
      <c r="F194" s="21"/>
      <c r="G194" s="22"/>
      <c r="H194" s="118"/>
      <c r="I194" s="118"/>
      <c r="J194" s="98"/>
      <c r="K194" s="150"/>
    </row>
    <row r="195" spans="1:11" x14ac:dyDescent="0.2">
      <c r="A195" s="10">
        <v>17978</v>
      </c>
      <c r="B195" s="11">
        <v>42297</v>
      </c>
      <c r="C195" s="12">
        <v>10.780000000000001</v>
      </c>
      <c r="D195" s="12">
        <v>0.82</v>
      </c>
      <c r="E195" s="17"/>
      <c r="H195" s="121"/>
      <c r="I195" s="118"/>
      <c r="J195" s="98"/>
      <c r="K195" s="150"/>
    </row>
    <row r="196" spans="1:11" x14ac:dyDescent="0.2">
      <c r="A196" s="10">
        <v>17979</v>
      </c>
      <c r="B196" s="11">
        <v>42297</v>
      </c>
      <c r="C196" s="12">
        <v>10.8</v>
      </c>
      <c r="D196" s="12"/>
      <c r="E196" s="15" t="s">
        <v>359</v>
      </c>
      <c r="F196" s="34">
        <f>+C184+C191+C194</f>
        <v>438.09000000000003</v>
      </c>
      <c r="G196" s="34">
        <v>432.04</v>
      </c>
      <c r="H196" s="118"/>
      <c r="I196" s="118"/>
      <c r="J196" s="98"/>
      <c r="K196" s="150"/>
    </row>
    <row r="197" spans="1:11" x14ac:dyDescent="0.2">
      <c r="A197" s="10">
        <v>17980</v>
      </c>
      <c r="B197" s="11">
        <v>42298</v>
      </c>
      <c r="C197" s="12">
        <v>148.30000000000001</v>
      </c>
      <c r="D197" s="12">
        <v>11.3</v>
      </c>
      <c r="E197" s="15" t="s">
        <v>11</v>
      </c>
      <c r="H197" s="118"/>
      <c r="I197" s="118"/>
      <c r="J197" s="98"/>
      <c r="K197" s="150"/>
    </row>
    <row r="198" spans="1:11" x14ac:dyDescent="0.2">
      <c r="A198" s="10">
        <v>17981</v>
      </c>
      <c r="B198" s="11">
        <v>42298</v>
      </c>
      <c r="C198" s="12">
        <v>281.45</v>
      </c>
      <c r="D198" s="12">
        <v>21.45</v>
      </c>
      <c r="E198" s="15" t="s">
        <v>11</v>
      </c>
      <c r="H198" s="118"/>
      <c r="I198" s="118"/>
      <c r="J198" s="98"/>
      <c r="K198" s="150"/>
    </row>
    <row r="199" spans="1:11" x14ac:dyDescent="0.2">
      <c r="A199" s="10">
        <v>17982</v>
      </c>
      <c r="B199" s="11">
        <v>42298</v>
      </c>
      <c r="C199" s="12">
        <v>68.2</v>
      </c>
      <c r="D199" s="12">
        <v>5.2</v>
      </c>
      <c r="E199" s="17"/>
      <c r="F199" s="18"/>
      <c r="G199" s="19"/>
      <c r="H199" s="121"/>
      <c r="I199" s="118"/>
      <c r="J199" s="98"/>
      <c r="K199" s="150"/>
    </row>
    <row r="200" spans="1:11" x14ac:dyDescent="0.2">
      <c r="A200" s="10">
        <v>17983</v>
      </c>
      <c r="B200" s="11">
        <v>42298</v>
      </c>
      <c r="C200" s="12">
        <v>64.95</v>
      </c>
      <c r="D200" s="12">
        <v>4.95</v>
      </c>
      <c r="E200" s="15" t="s">
        <v>11</v>
      </c>
      <c r="H200" s="118"/>
      <c r="I200" s="118"/>
      <c r="J200" s="98"/>
      <c r="K200" s="150"/>
    </row>
    <row r="201" spans="1:11" x14ac:dyDescent="0.2">
      <c r="A201" s="10">
        <v>17984</v>
      </c>
      <c r="B201" s="11">
        <v>42298</v>
      </c>
      <c r="C201" s="12">
        <v>158.05000000000001</v>
      </c>
      <c r="D201" s="12">
        <v>12.05</v>
      </c>
      <c r="E201" s="15" t="s">
        <v>481</v>
      </c>
      <c r="H201" s="118"/>
      <c r="I201" s="118"/>
      <c r="J201" s="98"/>
      <c r="K201" s="150"/>
    </row>
    <row r="202" spans="1:11" x14ac:dyDescent="0.2">
      <c r="A202" s="10">
        <v>17985</v>
      </c>
      <c r="B202" s="11">
        <v>42298</v>
      </c>
      <c r="C202" s="12">
        <v>699</v>
      </c>
      <c r="D202" s="12">
        <v>53.27</v>
      </c>
      <c r="E202" s="15"/>
      <c r="H202" s="118"/>
      <c r="I202" s="118"/>
      <c r="J202" s="98"/>
      <c r="K202" s="150"/>
    </row>
    <row r="203" spans="1:11" x14ac:dyDescent="0.2">
      <c r="A203" s="10">
        <v>17986</v>
      </c>
      <c r="B203" s="11">
        <v>42298</v>
      </c>
      <c r="C203" s="12">
        <v>43.3</v>
      </c>
      <c r="D203" s="12">
        <v>3.3</v>
      </c>
      <c r="E203" s="15"/>
      <c r="H203" s="118"/>
      <c r="I203" s="118"/>
      <c r="J203" s="98"/>
      <c r="K203" s="150"/>
    </row>
    <row r="204" spans="1:11" x14ac:dyDescent="0.2">
      <c r="A204" s="10">
        <v>17987</v>
      </c>
      <c r="B204" s="11">
        <v>42298</v>
      </c>
      <c r="C204" s="12">
        <v>140.72999999999999</v>
      </c>
      <c r="D204" s="12">
        <v>10.73</v>
      </c>
      <c r="E204" s="15" t="s">
        <v>7</v>
      </c>
      <c r="F204" s="34">
        <f>+C197+C198+100+C204</f>
        <v>670.48</v>
      </c>
      <c r="G204" s="34">
        <v>665.58</v>
      </c>
      <c r="H204" s="121"/>
      <c r="I204" s="118"/>
      <c r="J204" s="98"/>
      <c r="K204" s="150"/>
    </row>
    <row r="205" spans="1:11" x14ac:dyDescent="0.2">
      <c r="A205" s="10">
        <v>17988</v>
      </c>
      <c r="B205" s="11">
        <v>42299</v>
      </c>
      <c r="C205" s="12">
        <v>34.64</v>
      </c>
      <c r="D205" s="12">
        <v>2.64</v>
      </c>
      <c r="E205" s="15" t="s">
        <v>11</v>
      </c>
      <c r="H205" s="118"/>
      <c r="I205" s="118"/>
      <c r="J205" s="98"/>
      <c r="K205" s="150"/>
    </row>
    <row r="206" spans="1:11" x14ac:dyDescent="0.2">
      <c r="A206" s="10">
        <v>17989</v>
      </c>
      <c r="B206" s="11">
        <v>42299</v>
      </c>
      <c r="C206" s="12">
        <v>167.79</v>
      </c>
      <c r="D206" s="12">
        <v>12.79</v>
      </c>
      <c r="E206" s="13" t="s">
        <v>482</v>
      </c>
      <c r="H206" s="121"/>
      <c r="I206" s="118"/>
      <c r="J206" s="98"/>
      <c r="K206" s="150"/>
    </row>
    <row r="207" spans="1:11" x14ac:dyDescent="0.2">
      <c r="A207" s="10">
        <v>17990</v>
      </c>
      <c r="B207" s="11">
        <v>42299</v>
      </c>
      <c r="C207" s="12">
        <v>57.26</v>
      </c>
      <c r="D207" s="12">
        <v>4.3600000000000003</v>
      </c>
      <c r="E207" s="15" t="s">
        <v>7</v>
      </c>
      <c r="H207" s="118"/>
      <c r="I207" s="118"/>
      <c r="J207" s="98"/>
      <c r="K207" s="150"/>
    </row>
    <row r="208" spans="1:11" x14ac:dyDescent="0.2">
      <c r="A208" s="10">
        <v>17991</v>
      </c>
      <c r="B208" s="11">
        <v>42299</v>
      </c>
      <c r="C208" s="12">
        <v>768</v>
      </c>
      <c r="D208" s="12"/>
      <c r="E208" s="15" t="s">
        <v>483</v>
      </c>
      <c r="F208" s="21"/>
      <c r="G208" s="22"/>
      <c r="H208" s="118"/>
      <c r="I208" s="118"/>
      <c r="J208" s="98"/>
      <c r="K208" s="150"/>
    </row>
    <row r="209" spans="1:11" x14ac:dyDescent="0.2">
      <c r="A209" s="10">
        <v>17992</v>
      </c>
      <c r="B209" s="11">
        <v>42299</v>
      </c>
      <c r="C209" s="12">
        <v>16.18</v>
      </c>
      <c r="D209" s="12">
        <v>1.23</v>
      </c>
      <c r="E209" s="15" t="s">
        <v>11</v>
      </c>
      <c r="H209" s="118"/>
      <c r="I209" s="118"/>
      <c r="J209" s="98"/>
      <c r="K209" s="150"/>
    </row>
    <row r="210" spans="1:11" x14ac:dyDescent="0.2">
      <c r="A210" s="10">
        <v>17993</v>
      </c>
      <c r="B210" s="11">
        <v>42299</v>
      </c>
      <c r="C210" s="12">
        <v>258.83</v>
      </c>
      <c r="D210" s="12">
        <v>19.73</v>
      </c>
      <c r="E210" s="15"/>
      <c r="F210" s="21"/>
      <c r="G210" s="22"/>
      <c r="H210" s="118"/>
      <c r="I210" s="118"/>
      <c r="J210" s="98"/>
      <c r="K210" s="150"/>
    </row>
    <row r="211" spans="1:11" x14ac:dyDescent="0.2">
      <c r="A211" s="10">
        <v>17994</v>
      </c>
      <c r="B211" s="11">
        <v>42299</v>
      </c>
      <c r="C211" s="12">
        <v>250</v>
      </c>
      <c r="D211" s="12"/>
      <c r="E211" s="15" t="s">
        <v>484</v>
      </c>
      <c r="H211" s="118"/>
      <c r="I211" s="118"/>
      <c r="J211" s="98"/>
      <c r="K211" s="150"/>
    </row>
    <row r="212" spans="1:11" x14ac:dyDescent="0.2">
      <c r="A212" s="10">
        <v>17995</v>
      </c>
      <c r="B212" s="11">
        <v>42299</v>
      </c>
      <c r="C212" s="12">
        <v>236.53</v>
      </c>
      <c r="D212" s="12">
        <v>18.03</v>
      </c>
      <c r="E212" s="13" t="s">
        <v>485</v>
      </c>
      <c r="H212" s="121"/>
      <c r="I212" s="118"/>
      <c r="J212" s="98"/>
      <c r="K212" s="150"/>
    </row>
    <row r="213" spans="1:11" x14ac:dyDescent="0.2">
      <c r="A213" s="10">
        <v>17996</v>
      </c>
      <c r="B213" s="11">
        <v>42299</v>
      </c>
      <c r="C213" s="12">
        <v>216.5</v>
      </c>
      <c r="D213" s="12">
        <v>16.5</v>
      </c>
      <c r="E213" s="13" t="s">
        <v>486</v>
      </c>
      <c r="F213" s="18"/>
      <c r="G213" s="19"/>
      <c r="H213" s="121"/>
      <c r="I213" s="118"/>
      <c r="J213" s="98"/>
      <c r="K213" s="150"/>
    </row>
    <row r="214" spans="1:11" x14ac:dyDescent="0.2">
      <c r="A214" s="10">
        <v>17997</v>
      </c>
      <c r="B214" s="11">
        <v>42299</v>
      </c>
      <c r="C214" s="12">
        <v>280.37</v>
      </c>
      <c r="D214" s="12">
        <v>21.37</v>
      </c>
      <c r="E214" s="15" t="s">
        <v>11</v>
      </c>
      <c r="H214" s="118"/>
      <c r="I214" s="118"/>
      <c r="J214" s="98"/>
      <c r="K214" s="150"/>
    </row>
    <row r="215" spans="1:11" x14ac:dyDescent="0.2">
      <c r="A215" s="10">
        <v>17998</v>
      </c>
      <c r="B215" s="11">
        <v>42299</v>
      </c>
      <c r="C215" s="12">
        <v>123.30000000000001</v>
      </c>
      <c r="D215" s="12">
        <v>9.4</v>
      </c>
      <c r="E215" s="15" t="s">
        <v>7</v>
      </c>
      <c r="F215" s="34">
        <f>+C200+C205+C207+C209+C214+C215</f>
        <v>576.70000000000005</v>
      </c>
      <c r="G215" s="34">
        <v>567.03</v>
      </c>
      <c r="H215" s="118"/>
      <c r="I215" s="118"/>
      <c r="J215" s="98"/>
      <c r="K215" s="150"/>
    </row>
    <row r="216" spans="1:11" x14ac:dyDescent="0.2">
      <c r="A216" s="10">
        <v>17999</v>
      </c>
      <c r="B216" s="11">
        <v>42300</v>
      </c>
      <c r="C216" s="12">
        <v>105</v>
      </c>
      <c r="D216" s="12">
        <v>8</v>
      </c>
      <c r="E216" s="17"/>
      <c r="H216" s="121"/>
      <c r="I216" s="118"/>
      <c r="J216" s="98"/>
      <c r="K216" s="150"/>
    </row>
    <row r="217" spans="1:11" x14ac:dyDescent="0.2">
      <c r="A217" s="10">
        <v>18000</v>
      </c>
      <c r="B217" s="11">
        <v>42300</v>
      </c>
      <c r="C217" s="12">
        <v>20</v>
      </c>
      <c r="D217" s="12">
        <v>1.52</v>
      </c>
      <c r="E217" s="17"/>
      <c r="F217" s="18"/>
      <c r="G217" s="19"/>
      <c r="H217" s="121"/>
      <c r="I217" s="118"/>
      <c r="J217" s="98"/>
      <c r="K217" s="150"/>
    </row>
    <row r="218" spans="1:11" x14ac:dyDescent="0.2">
      <c r="A218" s="10">
        <v>18001</v>
      </c>
      <c r="B218" s="11">
        <v>42300</v>
      </c>
      <c r="C218" s="12">
        <v>35.67</v>
      </c>
      <c r="D218" s="12">
        <v>2.72</v>
      </c>
      <c r="E218" s="15" t="s">
        <v>7</v>
      </c>
      <c r="F218" s="21"/>
      <c r="G218" s="22"/>
      <c r="H218" s="118"/>
      <c r="I218" s="118"/>
      <c r="J218" s="98"/>
      <c r="K218" s="150"/>
    </row>
    <row r="219" spans="1:11" x14ac:dyDescent="0.2">
      <c r="A219" s="10">
        <v>18002</v>
      </c>
      <c r="B219" s="11">
        <v>42300</v>
      </c>
      <c r="C219" s="12">
        <v>14.07</v>
      </c>
      <c r="D219" s="12">
        <v>1.07</v>
      </c>
      <c r="E219" s="17"/>
      <c r="F219" s="18"/>
      <c r="G219" s="19"/>
      <c r="H219" s="121"/>
      <c r="I219" s="118"/>
      <c r="J219" s="98"/>
      <c r="K219" s="150"/>
    </row>
    <row r="220" spans="1:11" x14ac:dyDescent="0.2">
      <c r="A220" s="10">
        <v>18003</v>
      </c>
      <c r="B220" s="11">
        <v>42300</v>
      </c>
      <c r="C220" s="12">
        <v>40</v>
      </c>
      <c r="D220" s="12">
        <v>3.05</v>
      </c>
      <c r="E220" s="17"/>
      <c r="H220" s="121"/>
      <c r="I220" s="118"/>
      <c r="J220" s="98"/>
      <c r="K220" s="150"/>
    </row>
    <row r="221" spans="1:11" x14ac:dyDescent="0.2">
      <c r="A221" s="10">
        <v>18004</v>
      </c>
      <c r="B221" s="11">
        <v>42300</v>
      </c>
      <c r="C221" s="12"/>
      <c r="D221" s="12"/>
      <c r="E221" s="15" t="s">
        <v>487</v>
      </c>
      <c r="F221" s="21"/>
      <c r="G221" s="22"/>
      <c r="H221" s="118"/>
      <c r="I221" s="118"/>
      <c r="J221" s="98"/>
      <c r="K221" s="150"/>
    </row>
    <row r="222" spans="1:11" x14ac:dyDescent="0.2">
      <c r="A222" s="10">
        <v>18005</v>
      </c>
      <c r="B222" s="11">
        <v>42300</v>
      </c>
      <c r="C222" s="12">
        <v>242.48</v>
      </c>
      <c r="D222" s="12">
        <v>18.48</v>
      </c>
      <c r="E222" s="15" t="s">
        <v>488</v>
      </c>
      <c r="H222" s="118"/>
      <c r="I222" s="118"/>
      <c r="J222" s="98"/>
      <c r="K222" s="150"/>
    </row>
    <row r="223" spans="1:11" x14ac:dyDescent="0.2">
      <c r="A223" s="10">
        <v>18006</v>
      </c>
      <c r="B223" s="11">
        <v>42300</v>
      </c>
      <c r="C223" s="12">
        <v>8</v>
      </c>
      <c r="D223" s="12">
        <v>0.61</v>
      </c>
      <c r="E223" s="17"/>
      <c r="H223" s="121"/>
      <c r="I223" s="118"/>
      <c r="J223" s="98"/>
      <c r="K223" s="150"/>
    </row>
    <row r="224" spans="1:11" x14ac:dyDescent="0.2">
      <c r="A224" s="10">
        <v>18007</v>
      </c>
      <c r="B224" s="11">
        <v>42300</v>
      </c>
      <c r="C224" s="12">
        <v>519.6</v>
      </c>
      <c r="D224" s="12">
        <v>39.6</v>
      </c>
      <c r="E224" s="15" t="s">
        <v>488</v>
      </c>
      <c r="H224" s="118"/>
      <c r="I224" s="118"/>
      <c r="J224" s="98"/>
      <c r="K224" s="150"/>
    </row>
    <row r="225" spans="1:12" x14ac:dyDescent="0.2">
      <c r="A225" s="10">
        <v>18008</v>
      </c>
      <c r="B225" s="11">
        <v>42300</v>
      </c>
      <c r="C225" s="12">
        <v>21.43</v>
      </c>
      <c r="D225" s="12">
        <v>1.63</v>
      </c>
      <c r="E225" s="15" t="s">
        <v>488</v>
      </c>
      <c r="H225" s="118"/>
      <c r="I225" s="118"/>
      <c r="J225" s="98"/>
      <c r="K225" s="150"/>
    </row>
    <row r="226" spans="1:12" x14ac:dyDescent="0.2">
      <c r="A226" s="10">
        <v>18009</v>
      </c>
      <c r="B226" s="11">
        <v>42300</v>
      </c>
      <c r="C226" s="12">
        <v>23.229999999999997</v>
      </c>
      <c r="D226" s="12"/>
      <c r="E226" s="15" t="s">
        <v>11</v>
      </c>
      <c r="H226" s="118"/>
      <c r="I226" s="118"/>
      <c r="J226" s="98"/>
      <c r="K226" s="150"/>
    </row>
    <row r="227" spans="1:12" x14ac:dyDescent="0.2">
      <c r="A227" s="10">
        <v>18010</v>
      </c>
      <c r="B227" s="11">
        <v>42300</v>
      </c>
      <c r="C227" s="12">
        <v>40</v>
      </c>
      <c r="D227" s="12">
        <v>3.05</v>
      </c>
      <c r="E227" s="17"/>
      <c r="F227" s="18"/>
      <c r="G227" s="19"/>
      <c r="H227" s="121"/>
      <c r="I227" s="118"/>
      <c r="J227" s="98"/>
      <c r="K227" s="150"/>
    </row>
    <row r="228" spans="1:12" x14ac:dyDescent="0.2">
      <c r="A228" s="10">
        <v>18011</v>
      </c>
      <c r="B228" s="11">
        <v>42300</v>
      </c>
      <c r="C228" s="12">
        <v>4</v>
      </c>
      <c r="D228" s="12">
        <v>0.3</v>
      </c>
      <c r="E228" s="17"/>
      <c r="F228" s="18"/>
      <c r="G228" s="19"/>
      <c r="H228" s="121"/>
      <c r="I228" s="118"/>
      <c r="J228" s="98"/>
      <c r="K228" s="150"/>
    </row>
    <row r="229" spans="1:12" x14ac:dyDescent="0.2">
      <c r="A229" s="10">
        <v>18012</v>
      </c>
      <c r="B229" s="11">
        <v>42300</v>
      </c>
      <c r="C229" s="12">
        <v>78</v>
      </c>
      <c r="D229" s="12"/>
      <c r="E229" s="15" t="s">
        <v>489</v>
      </c>
      <c r="F229" s="34">
        <f>+C218+C222+C224+C225+C226+C192</f>
        <v>1053.5</v>
      </c>
      <c r="G229" s="34">
        <v>1028.17</v>
      </c>
      <c r="H229" s="118"/>
      <c r="I229" s="118"/>
      <c r="J229" s="98"/>
      <c r="K229" s="150"/>
    </row>
    <row r="230" spans="1:12" x14ac:dyDescent="0.2">
      <c r="A230" s="10">
        <v>18013</v>
      </c>
      <c r="B230" s="11">
        <v>42301</v>
      </c>
      <c r="C230" s="12">
        <v>8.66</v>
      </c>
      <c r="D230" s="12">
        <v>0.66</v>
      </c>
      <c r="E230" s="17"/>
      <c r="F230" s="18"/>
      <c r="G230" s="19"/>
      <c r="H230" s="121"/>
      <c r="I230" s="118"/>
      <c r="J230" s="98"/>
      <c r="K230" s="150"/>
    </row>
    <row r="231" spans="1:12" x14ac:dyDescent="0.2">
      <c r="A231" s="10">
        <v>18014</v>
      </c>
      <c r="B231" s="11">
        <v>42301</v>
      </c>
      <c r="C231" s="12">
        <v>99.2</v>
      </c>
      <c r="D231" s="12"/>
      <c r="E231" s="15" t="s">
        <v>271</v>
      </c>
      <c r="F231" s="34">
        <v>0</v>
      </c>
      <c r="G231" s="34">
        <f>+F231*0.97831</f>
        <v>0</v>
      </c>
      <c r="H231" s="118"/>
      <c r="I231" s="118"/>
      <c r="J231" s="98"/>
      <c r="K231" s="150"/>
    </row>
    <row r="232" spans="1:12" x14ac:dyDescent="0.2">
      <c r="A232" s="10">
        <v>18015</v>
      </c>
      <c r="B232" s="11">
        <v>42303</v>
      </c>
      <c r="C232" s="12">
        <v>5</v>
      </c>
      <c r="D232" s="12">
        <v>0.38</v>
      </c>
      <c r="E232" s="17"/>
      <c r="H232" s="121"/>
      <c r="I232" s="118"/>
      <c r="J232" s="98"/>
      <c r="K232" s="150"/>
    </row>
    <row r="233" spans="1:12" x14ac:dyDescent="0.2">
      <c r="A233" s="10">
        <v>18016</v>
      </c>
      <c r="B233" s="11">
        <v>42303</v>
      </c>
      <c r="C233" s="12">
        <v>24.84</v>
      </c>
      <c r="D233" s="12">
        <v>1.89</v>
      </c>
      <c r="E233" s="17"/>
      <c r="H233" s="121"/>
      <c r="I233" s="118"/>
      <c r="J233" s="98"/>
      <c r="K233" s="150"/>
    </row>
    <row r="234" spans="1:12" x14ac:dyDescent="0.2">
      <c r="A234" s="10">
        <v>18017</v>
      </c>
      <c r="B234" s="11">
        <v>42303</v>
      </c>
      <c r="C234" s="12">
        <v>21.65</v>
      </c>
      <c r="D234" s="12">
        <v>1.65</v>
      </c>
      <c r="E234" s="17"/>
      <c r="F234" s="121"/>
      <c r="G234" s="121"/>
      <c r="H234" s="127"/>
      <c r="I234" s="126"/>
      <c r="J234" s="126"/>
      <c r="K234" s="150"/>
      <c r="L234" s="126"/>
    </row>
    <row r="235" spans="1:12" x14ac:dyDescent="0.2">
      <c r="A235" s="10">
        <v>18018</v>
      </c>
      <c r="B235" s="11">
        <v>42303</v>
      </c>
      <c r="C235" s="12">
        <v>89.85</v>
      </c>
      <c r="D235" s="12">
        <v>6.85</v>
      </c>
      <c r="E235" s="13" t="s">
        <v>490</v>
      </c>
      <c r="F235" s="121"/>
      <c r="G235" s="121"/>
      <c r="H235" s="127"/>
      <c r="I235" s="126"/>
      <c r="J235" s="126"/>
      <c r="K235" s="150"/>
      <c r="L235" s="126"/>
    </row>
    <row r="236" spans="1:12" x14ac:dyDescent="0.2">
      <c r="A236" s="10">
        <v>18019</v>
      </c>
      <c r="B236" s="11">
        <v>42303</v>
      </c>
      <c r="C236" s="12">
        <v>8</v>
      </c>
      <c r="D236" s="12">
        <v>0.61</v>
      </c>
      <c r="E236" s="17"/>
      <c r="H236" s="127"/>
      <c r="I236" s="126"/>
      <c r="J236" s="126"/>
      <c r="K236" s="150"/>
      <c r="L236" s="126"/>
    </row>
    <row r="237" spans="1:12" x14ac:dyDescent="0.2">
      <c r="A237" s="10">
        <v>18020</v>
      </c>
      <c r="B237" s="11">
        <v>42303</v>
      </c>
      <c r="C237" s="12">
        <v>20</v>
      </c>
      <c r="D237" s="12"/>
      <c r="E237" s="13" t="s">
        <v>371</v>
      </c>
      <c r="H237" s="127"/>
      <c r="I237" s="126"/>
      <c r="J237" s="126"/>
      <c r="K237" s="150"/>
      <c r="L237" s="126"/>
    </row>
    <row r="238" spans="1:12" x14ac:dyDescent="0.2">
      <c r="A238" s="10">
        <v>18021</v>
      </c>
      <c r="B238" s="11">
        <v>42303</v>
      </c>
      <c r="C238" s="12">
        <v>64.900000000000006</v>
      </c>
      <c r="D238" s="12">
        <v>4.95</v>
      </c>
      <c r="E238" s="15" t="s">
        <v>11</v>
      </c>
      <c r="F238" s="21"/>
      <c r="G238" s="22"/>
      <c r="H238" s="125"/>
      <c r="I238" s="125"/>
      <c r="J238" s="126"/>
      <c r="K238" s="150"/>
      <c r="L238" s="126"/>
    </row>
    <row r="239" spans="1:12" x14ac:dyDescent="0.2">
      <c r="A239" s="10">
        <v>18022</v>
      </c>
      <c r="B239" s="11">
        <v>42303</v>
      </c>
      <c r="C239" s="12">
        <v>146.13999999999999</v>
      </c>
      <c r="D239" s="12">
        <v>11.14</v>
      </c>
      <c r="E239" s="15" t="s">
        <v>11</v>
      </c>
      <c r="H239" s="125"/>
      <c r="I239" s="125"/>
      <c r="J239" s="126"/>
      <c r="K239" s="150"/>
      <c r="L239" s="126"/>
    </row>
    <row r="240" spans="1:12" x14ac:dyDescent="0.2">
      <c r="A240" s="10">
        <v>18023</v>
      </c>
      <c r="B240" s="11">
        <v>42303</v>
      </c>
      <c r="C240" s="12">
        <v>156</v>
      </c>
      <c r="D240" s="12"/>
      <c r="E240" s="13" t="s">
        <v>472</v>
      </c>
      <c r="H240" s="127"/>
      <c r="I240" s="125"/>
      <c r="J240" s="126"/>
      <c r="K240" s="150"/>
      <c r="L240" s="126"/>
    </row>
    <row r="241" spans="1:12" x14ac:dyDescent="0.2">
      <c r="A241" s="10">
        <v>18024</v>
      </c>
      <c r="B241" s="11">
        <v>42303</v>
      </c>
      <c r="C241" s="12">
        <v>37.89</v>
      </c>
      <c r="D241" s="12">
        <v>2.89</v>
      </c>
      <c r="E241" s="15" t="s">
        <v>7</v>
      </c>
      <c r="F241" s="34">
        <f>58.05+45+C238+C239+C241</f>
        <v>351.97999999999996</v>
      </c>
      <c r="G241" s="34">
        <v>349.18</v>
      </c>
      <c r="H241" s="125"/>
      <c r="I241" s="125"/>
      <c r="J241" s="126"/>
      <c r="K241" s="150"/>
      <c r="L241" s="126"/>
    </row>
    <row r="242" spans="1:12" x14ac:dyDescent="0.2">
      <c r="A242" s="10">
        <v>18025</v>
      </c>
      <c r="B242" s="11">
        <v>42304</v>
      </c>
      <c r="C242" s="12">
        <v>44.38</v>
      </c>
      <c r="D242" s="12">
        <v>3.38</v>
      </c>
      <c r="E242" s="15" t="s">
        <v>7</v>
      </c>
      <c r="H242" s="125"/>
      <c r="I242" s="125"/>
      <c r="J242" s="126"/>
      <c r="K242" s="150"/>
      <c r="L242" s="126"/>
    </row>
    <row r="243" spans="1:12" x14ac:dyDescent="0.2">
      <c r="A243" s="10">
        <v>18026</v>
      </c>
      <c r="B243" s="11">
        <v>42304</v>
      </c>
      <c r="C243" s="12">
        <v>127.74</v>
      </c>
      <c r="D243" s="12">
        <v>9.74</v>
      </c>
      <c r="E243" s="15" t="s">
        <v>7</v>
      </c>
      <c r="H243" s="125"/>
      <c r="I243" s="125"/>
      <c r="J243" s="126"/>
      <c r="K243" s="150"/>
      <c r="L243" s="126"/>
    </row>
    <row r="244" spans="1:12" x14ac:dyDescent="0.2">
      <c r="A244" s="10">
        <v>18027</v>
      </c>
      <c r="B244" s="11">
        <v>42304</v>
      </c>
      <c r="C244" s="12">
        <v>16.239999999999998</v>
      </c>
      <c r="D244" s="12">
        <v>1.24</v>
      </c>
      <c r="E244" s="17"/>
      <c r="F244" s="18"/>
      <c r="G244" s="19"/>
      <c r="H244" s="127"/>
      <c r="I244" s="125"/>
      <c r="J244" s="126"/>
      <c r="K244" s="150"/>
      <c r="L244" s="126"/>
    </row>
    <row r="245" spans="1:12" x14ac:dyDescent="0.2">
      <c r="A245" s="10">
        <v>18028</v>
      </c>
      <c r="B245" s="11">
        <v>42304</v>
      </c>
      <c r="C245" s="12">
        <v>32.479999999999997</v>
      </c>
      <c r="D245" s="12">
        <v>2.48</v>
      </c>
      <c r="E245" s="15" t="s">
        <v>11</v>
      </c>
      <c r="H245" s="125"/>
      <c r="I245" s="125"/>
      <c r="J245" s="126"/>
      <c r="K245" s="150"/>
      <c r="L245" s="126"/>
    </row>
    <row r="246" spans="1:12" x14ac:dyDescent="0.2">
      <c r="A246" s="10">
        <v>18029</v>
      </c>
      <c r="B246" s="11">
        <v>42304</v>
      </c>
      <c r="C246" s="12">
        <v>32.479999999999997</v>
      </c>
      <c r="D246" s="12">
        <v>2.48</v>
      </c>
      <c r="E246" s="15" t="s">
        <v>11</v>
      </c>
      <c r="H246" s="125"/>
      <c r="I246" s="125"/>
      <c r="J246" s="126"/>
      <c r="K246" s="150"/>
      <c r="L246" s="126"/>
    </row>
    <row r="247" spans="1:12" x14ac:dyDescent="0.2">
      <c r="A247" s="10">
        <v>18030</v>
      </c>
      <c r="B247" s="11">
        <v>42304</v>
      </c>
      <c r="C247" s="12">
        <v>56.29</v>
      </c>
      <c r="D247" s="12">
        <v>4.29</v>
      </c>
      <c r="E247" s="15" t="s">
        <v>13</v>
      </c>
      <c r="F247" s="21"/>
      <c r="G247" s="22"/>
      <c r="H247" s="125"/>
      <c r="I247" s="125"/>
      <c r="J247" s="126"/>
      <c r="K247" s="150"/>
      <c r="L247" s="126"/>
    </row>
    <row r="248" spans="1:12" x14ac:dyDescent="0.2">
      <c r="A248" s="10">
        <v>18031</v>
      </c>
      <c r="B248" s="11">
        <v>42304</v>
      </c>
      <c r="C248" s="12">
        <v>21.65</v>
      </c>
      <c r="D248" s="12">
        <v>1.65</v>
      </c>
      <c r="E248" s="17"/>
      <c r="H248" s="127"/>
      <c r="I248" s="125"/>
      <c r="J248" s="126"/>
      <c r="K248" s="150"/>
      <c r="L248" s="126"/>
    </row>
    <row r="249" spans="1:12" x14ac:dyDescent="0.2">
      <c r="A249" s="10">
        <v>18032</v>
      </c>
      <c r="B249" s="11">
        <v>42304</v>
      </c>
      <c r="C249" s="12">
        <v>10</v>
      </c>
      <c r="D249" s="12"/>
      <c r="E249" s="13" t="s">
        <v>19</v>
      </c>
      <c r="H249" s="127"/>
      <c r="I249" s="125"/>
      <c r="J249" s="126"/>
      <c r="K249" s="150"/>
      <c r="L249" s="126"/>
    </row>
    <row r="250" spans="1:12" x14ac:dyDescent="0.2">
      <c r="A250" s="10">
        <v>18033</v>
      </c>
      <c r="B250" s="11">
        <v>42304</v>
      </c>
      <c r="C250" s="12">
        <v>-4.33</v>
      </c>
      <c r="D250" s="12">
        <v>-0.33</v>
      </c>
      <c r="E250" s="17"/>
      <c r="H250" s="127"/>
      <c r="I250" s="125"/>
      <c r="J250" s="126"/>
      <c r="K250" s="150"/>
      <c r="L250" s="126"/>
    </row>
    <row r="251" spans="1:12" x14ac:dyDescent="0.2">
      <c r="A251" s="10">
        <v>18034</v>
      </c>
      <c r="B251" s="11">
        <v>42304</v>
      </c>
      <c r="C251" s="12">
        <v>334</v>
      </c>
      <c r="D251" s="12"/>
      <c r="E251" s="15" t="s">
        <v>19</v>
      </c>
      <c r="H251" s="125"/>
      <c r="I251" s="125"/>
      <c r="J251" s="126"/>
      <c r="K251" s="150"/>
      <c r="L251" s="126"/>
    </row>
    <row r="252" spans="1:12" x14ac:dyDescent="0.2">
      <c r="A252" s="10">
        <v>18035</v>
      </c>
      <c r="B252" s="11">
        <v>42304</v>
      </c>
      <c r="C252" s="12">
        <v>3.5</v>
      </c>
      <c r="D252" s="12"/>
      <c r="E252" s="15" t="s">
        <v>19</v>
      </c>
      <c r="H252" s="125"/>
      <c r="I252" s="125"/>
      <c r="J252" s="126"/>
      <c r="K252" s="150"/>
      <c r="L252" s="126"/>
    </row>
    <row r="253" spans="1:12" x14ac:dyDescent="0.2">
      <c r="A253" s="10">
        <v>18036</v>
      </c>
      <c r="B253" s="11">
        <v>42304</v>
      </c>
      <c r="C253" s="12">
        <v>43</v>
      </c>
      <c r="D253" s="12"/>
      <c r="E253" s="15" t="s">
        <v>484</v>
      </c>
      <c r="F253" s="34">
        <f>+C242+C243+C208+C246+11.65+C245</f>
        <v>1016.73</v>
      </c>
      <c r="G253" s="34">
        <v>989.65</v>
      </c>
      <c r="H253" s="125"/>
      <c r="I253" s="125"/>
      <c r="J253" s="126"/>
      <c r="K253" s="150"/>
      <c r="L253" s="126"/>
    </row>
    <row r="254" spans="1:12" x14ac:dyDescent="0.2">
      <c r="A254" s="10">
        <v>18037</v>
      </c>
      <c r="B254" s="11">
        <v>42305</v>
      </c>
      <c r="C254" s="12">
        <v>0</v>
      </c>
      <c r="D254" s="12">
        <v>0</v>
      </c>
      <c r="E254" s="17"/>
      <c r="H254" s="127"/>
      <c r="I254" s="125"/>
      <c r="J254" s="126"/>
      <c r="K254" s="150"/>
      <c r="L254" s="126"/>
    </row>
    <row r="255" spans="1:12" x14ac:dyDescent="0.2">
      <c r="A255" s="10">
        <v>18038</v>
      </c>
      <c r="B255" s="11">
        <v>42305</v>
      </c>
      <c r="C255" s="12">
        <v>167.79</v>
      </c>
      <c r="D255" s="12">
        <v>12.79</v>
      </c>
      <c r="E255" s="15" t="s">
        <v>11</v>
      </c>
      <c r="H255" s="125"/>
      <c r="I255" s="125"/>
      <c r="J255" s="126"/>
      <c r="K255" s="150"/>
      <c r="L255" s="126"/>
    </row>
    <row r="256" spans="1:12" x14ac:dyDescent="0.2">
      <c r="A256" s="10">
        <v>18039</v>
      </c>
      <c r="B256" s="11">
        <v>42305</v>
      </c>
      <c r="C256" s="12">
        <v>98.51</v>
      </c>
      <c r="D256" s="12">
        <v>7.51</v>
      </c>
      <c r="E256" s="15" t="s">
        <v>11</v>
      </c>
      <c r="F256" s="21"/>
      <c r="G256" s="22"/>
      <c r="H256" s="125"/>
      <c r="I256" s="125"/>
      <c r="J256" s="126"/>
      <c r="K256" s="150"/>
      <c r="L256" s="126"/>
    </row>
    <row r="257" spans="1:12" x14ac:dyDescent="0.2">
      <c r="A257" s="10">
        <v>18040</v>
      </c>
      <c r="B257" s="11">
        <v>42305</v>
      </c>
      <c r="C257" s="12">
        <v>5</v>
      </c>
      <c r="D257" s="12"/>
      <c r="E257" s="15" t="s">
        <v>19</v>
      </c>
      <c r="H257" s="127"/>
      <c r="I257" s="125"/>
      <c r="J257" s="126"/>
      <c r="K257" s="150"/>
      <c r="L257" s="126"/>
    </row>
    <row r="258" spans="1:12" x14ac:dyDescent="0.2">
      <c r="A258" s="10">
        <v>18041</v>
      </c>
      <c r="B258" s="11">
        <v>42305</v>
      </c>
      <c r="C258" s="12">
        <v>8.6999999999999993</v>
      </c>
      <c r="D258" s="12"/>
      <c r="E258" s="15" t="s">
        <v>417</v>
      </c>
      <c r="F258" s="34">
        <f>+C255+C256+C247+C258</f>
        <v>331.29</v>
      </c>
      <c r="G258" s="34">
        <v>327.07</v>
      </c>
      <c r="H258" s="125"/>
      <c r="I258" s="125"/>
      <c r="J258" s="126"/>
      <c r="K258" s="150"/>
      <c r="L258" s="126"/>
    </row>
    <row r="259" spans="1:12" x14ac:dyDescent="0.2">
      <c r="A259" s="10">
        <v>18042</v>
      </c>
      <c r="B259" s="11">
        <v>42306</v>
      </c>
      <c r="C259" s="12">
        <v>15.5</v>
      </c>
      <c r="D259" s="12"/>
      <c r="E259" s="15" t="s">
        <v>264</v>
      </c>
      <c r="H259" s="125"/>
      <c r="I259" s="125"/>
      <c r="J259" s="126"/>
      <c r="K259" s="150"/>
      <c r="L259" s="126"/>
    </row>
    <row r="260" spans="1:12" x14ac:dyDescent="0.2">
      <c r="A260" s="10">
        <v>18043</v>
      </c>
      <c r="B260" s="11">
        <v>42306</v>
      </c>
      <c r="C260" s="12">
        <v>97.43</v>
      </c>
      <c r="D260" s="12">
        <v>7.43</v>
      </c>
      <c r="E260" s="15"/>
      <c r="H260" s="125"/>
      <c r="I260" s="125"/>
      <c r="J260" s="126"/>
      <c r="K260" s="150"/>
      <c r="L260" s="126"/>
    </row>
    <row r="261" spans="1:12" x14ac:dyDescent="0.2">
      <c r="A261" s="10">
        <v>18044</v>
      </c>
      <c r="B261" s="11">
        <v>42306</v>
      </c>
      <c r="C261" s="12">
        <v>279.29000000000002</v>
      </c>
      <c r="D261" s="12">
        <v>21.29</v>
      </c>
      <c r="E261" s="13" t="s">
        <v>491</v>
      </c>
      <c r="F261" s="18"/>
      <c r="G261" s="19"/>
      <c r="H261" s="127"/>
      <c r="I261" s="125"/>
      <c r="J261" s="126"/>
      <c r="K261" s="150"/>
      <c r="L261" s="126"/>
    </row>
    <row r="262" spans="1:12" x14ac:dyDescent="0.2">
      <c r="A262" s="10">
        <v>18045</v>
      </c>
      <c r="B262" s="11">
        <v>42306</v>
      </c>
      <c r="C262" s="12">
        <v>48.71</v>
      </c>
      <c r="D262" s="12">
        <v>3.71</v>
      </c>
      <c r="E262" s="17"/>
      <c r="H262" s="127"/>
      <c r="I262" s="125"/>
      <c r="J262" s="126"/>
      <c r="K262" s="150"/>
      <c r="L262" s="126"/>
    </row>
    <row r="263" spans="1:12" x14ac:dyDescent="0.2">
      <c r="A263" s="10">
        <v>18046</v>
      </c>
      <c r="B263" s="11">
        <v>42306</v>
      </c>
      <c r="C263" s="12">
        <v>145</v>
      </c>
      <c r="D263" s="12">
        <v>11.05</v>
      </c>
      <c r="E263" s="15" t="s">
        <v>11</v>
      </c>
      <c r="H263" s="125"/>
      <c r="I263" s="125"/>
      <c r="J263" s="126"/>
      <c r="K263" s="150"/>
      <c r="L263" s="126"/>
    </row>
    <row r="264" spans="1:12" x14ac:dyDescent="0.2">
      <c r="A264" s="10">
        <v>18047</v>
      </c>
      <c r="B264" s="11">
        <v>42306</v>
      </c>
      <c r="C264" s="12">
        <v>40</v>
      </c>
      <c r="D264" s="12"/>
      <c r="E264" s="15" t="s">
        <v>16</v>
      </c>
      <c r="F264" s="21"/>
      <c r="G264" s="22"/>
      <c r="H264" s="125"/>
      <c r="I264" s="125"/>
      <c r="J264" s="126"/>
      <c r="K264" s="150"/>
      <c r="L264" s="126"/>
    </row>
    <row r="265" spans="1:12" x14ac:dyDescent="0.2">
      <c r="A265" s="10">
        <v>18048</v>
      </c>
      <c r="B265" s="11">
        <v>42306</v>
      </c>
      <c r="C265" s="12">
        <v>186.73</v>
      </c>
      <c r="D265" s="12">
        <v>14.23</v>
      </c>
      <c r="E265" s="15" t="s">
        <v>11</v>
      </c>
      <c r="H265" s="125"/>
      <c r="I265" s="125"/>
      <c r="J265" s="126"/>
      <c r="K265" s="150"/>
      <c r="L265" s="126"/>
    </row>
    <row r="266" spans="1:12" x14ac:dyDescent="0.2">
      <c r="A266" s="10">
        <v>18049</v>
      </c>
      <c r="B266" s="11">
        <v>42306</v>
      </c>
      <c r="C266" s="12">
        <v>17.920000000000002</v>
      </c>
      <c r="D266" s="12"/>
      <c r="E266" s="15" t="s">
        <v>359</v>
      </c>
      <c r="F266" s="34">
        <f>+C259+C263+C265</f>
        <v>347.23</v>
      </c>
      <c r="G266" s="34">
        <v>345.09</v>
      </c>
      <c r="H266" s="125"/>
      <c r="I266" s="125"/>
      <c r="J266" s="126"/>
      <c r="K266" s="150"/>
      <c r="L266" s="126"/>
    </row>
    <row r="267" spans="1:12" x14ac:dyDescent="0.2">
      <c r="A267" s="10">
        <v>18050</v>
      </c>
      <c r="B267" s="11">
        <v>42307</v>
      </c>
      <c r="C267" s="12">
        <v>81.140000000000015</v>
      </c>
      <c r="D267" s="12">
        <v>6.18</v>
      </c>
      <c r="E267" s="17"/>
      <c r="H267" s="127"/>
      <c r="I267" s="125"/>
      <c r="J267" s="126"/>
      <c r="K267" s="150"/>
      <c r="L267" s="126"/>
    </row>
    <row r="268" spans="1:12" x14ac:dyDescent="0.2">
      <c r="A268" s="10">
        <v>18051</v>
      </c>
      <c r="B268" s="11">
        <v>42307</v>
      </c>
      <c r="C268" s="12">
        <v>25.93</v>
      </c>
      <c r="D268" s="12">
        <v>1.98</v>
      </c>
      <c r="E268" s="17"/>
      <c r="F268" s="18"/>
      <c r="G268" s="19"/>
      <c r="H268" s="127"/>
      <c r="I268" s="125"/>
      <c r="J268" s="126"/>
      <c r="K268" s="150"/>
      <c r="L268" s="126"/>
    </row>
    <row r="269" spans="1:12" x14ac:dyDescent="0.2">
      <c r="A269" s="10">
        <v>18052</v>
      </c>
      <c r="B269" s="11">
        <v>42307</v>
      </c>
      <c r="C269" s="12">
        <v>-5.3900000000000006</v>
      </c>
      <c r="D269" s="12">
        <v>-0.41</v>
      </c>
      <c r="E269" s="17"/>
      <c r="F269" s="18"/>
      <c r="G269" s="19"/>
      <c r="H269" s="127"/>
      <c r="I269" s="125"/>
      <c r="J269" s="126"/>
      <c r="K269" s="150"/>
      <c r="L269" s="126"/>
    </row>
    <row r="270" spans="1:12" x14ac:dyDescent="0.2">
      <c r="A270" s="10">
        <v>18053</v>
      </c>
      <c r="B270" s="11">
        <v>42307</v>
      </c>
      <c r="C270" s="12">
        <v>120.16</v>
      </c>
      <c r="D270" s="12">
        <v>9.16</v>
      </c>
      <c r="E270" s="17"/>
      <c r="H270" s="127"/>
      <c r="I270" s="125"/>
      <c r="J270" s="126"/>
      <c r="K270" s="150"/>
      <c r="L270" s="126"/>
    </row>
    <row r="271" spans="1:12" x14ac:dyDescent="0.2">
      <c r="A271" s="10">
        <v>18054</v>
      </c>
      <c r="B271" s="11">
        <v>42307</v>
      </c>
      <c r="C271" s="12">
        <v>5.36</v>
      </c>
      <c r="D271" s="12">
        <v>0.41</v>
      </c>
      <c r="E271" s="17"/>
      <c r="F271" s="18"/>
      <c r="G271" s="19"/>
      <c r="H271" s="127"/>
      <c r="I271" s="125"/>
      <c r="J271" s="126"/>
      <c r="K271" s="150"/>
      <c r="L271" s="126"/>
    </row>
    <row r="272" spans="1:12" x14ac:dyDescent="0.2">
      <c r="A272" s="10">
        <v>18055</v>
      </c>
      <c r="B272" s="11">
        <v>42307</v>
      </c>
      <c r="C272" s="12">
        <v>165</v>
      </c>
      <c r="D272" s="12">
        <v>12.56</v>
      </c>
      <c r="E272" s="23"/>
      <c r="H272" s="125"/>
      <c r="I272" s="125"/>
      <c r="J272" s="126"/>
      <c r="K272" s="150"/>
      <c r="L272" s="126"/>
    </row>
    <row r="273" spans="1:12" x14ac:dyDescent="0.2">
      <c r="A273" s="10">
        <v>18056</v>
      </c>
      <c r="B273" s="11">
        <v>42307</v>
      </c>
      <c r="C273" s="12">
        <v>167.19</v>
      </c>
      <c r="D273" s="12">
        <v>12.74</v>
      </c>
      <c r="E273" s="17"/>
      <c r="H273" s="127"/>
      <c r="I273" s="125"/>
      <c r="J273" s="126"/>
      <c r="K273" s="150"/>
      <c r="L273" s="126"/>
    </row>
    <row r="274" spans="1:12" x14ac:dyDescent="0.2">
      <c r="A274" s="10">
        <v>18057</v>
      </c>
      <c r="B274" s="11">
        <v>42307</v>
      </c>
      <c r="C274" s="12">
        <v>137.47999999999999</v>
      </c>
      <c r="D274" s="12">
        <v>10.48</v>
      </c>
      <c r="E274" s="15" t="s">
        <v>492</v>
      </c>
      <c r="H274" s="125"/>
      <c r="I274" s="125"/>
      <c r="J274" s="126"/>
      <c r="K274" s="150"/>
      <c r="L274" s="126"/>
    </row>
    <row r="275" spans="1:12" x14ac:dyDescent="0.2">
      <c r="A275" s="10">
        <v>18058</v>
      </c>
      <c r="B275" s="11">
        <v>42307</v>
      </c>
      <c r="C275" s="12">
        <v>10.83</v>
      </c>
      <c r="D275" s="12">
        <v>0.83</v>
      </c>
      <c r="E275" s="15" t="s">
        <v>11</v>
      </c>
      <c r="F275" s="34">
        <f>196.53+129.17+C275</f>
        <v>336.53</v>
      </c>
      <c r="G275" s="34">
        <v>331.72</v>
      </c>
      <c r="H275" s="118"/>
      <c r="I275" s="125"/>
      <c r="J275" s="126"/>
      <c r="K275" s="150"/>
      <c r="L275" s="126"/>
    </row>
    <row r="276" spans="1:12" x14ac:dyDescent="0.2">
      <c r="A276" s="10">
        <v>18059</v>
      </c>
      <c r="B276" s="11">
        <v>42308</v>
      </c>
      <c r="C276" s="12">
        <v>10.83</v>
      </c>
      <c r="D276" s="12">
        <v>0.83</v>
      </c>
      <c r="E276" s="17"/>
      <c r="F276" s="18"/>
      <c r="G276" s="19"/>
      <c r="H276" s="121"/>
      <c r="I276" s="125"/>
      <c r="J276" s="126"/>
      <c r="K276" s="150"/>
      <c r="L276" s="126"/>
    </row>
    <row r="277" spans="1:12" x14ac:dyDescent="0.2">
      <c r="A277" s="10">
        <v>18060</v>
      </c>
      <c r="B277" s="11">
        <v>42308</v>
      </c>
      <c r="C277" s="12">
        <v>10.72</v>
      </c>
      <c r="D277" s="12">
        <v>0.82</v>
      </c>
      <c r="E277" s="17"/>
      <c r="F277" s="18"/>
      <c r="G277" s="19"/>
      <c r="H277" s="121"/>
      <c r="I277" s="125"/>
      <c r="J277" s="126"/>
      <c r="K277" s="150"/>
      <c r="L277" s="126"/>
    </row>
    <row r="278" spans="1:12" x14ac:dyDescent="0.2">
      <c r="A278" s="10">
        <v>18061</v>
      </c>
      <c r="B278" s="11">
        <v>42308</v>
      </c>
      <c r="C278" s="121">
        <v>238.69</v>
      </c>
      <c r="D278" s="12">
        <v>18.190000000000001</v>
      </c>
      <c r="E278" s="15" t="s">
        <v>11</v>
      </c>
      <c r="F278" s="21"/>
      <c r="G278" s="22"/>
      <c r="H278" s="118"/>
      <c r="I278" s="125"/>
      <c r="J278" s="126"/>
      <c r="K278" s="150"/>
      <c r="L278" s="126"/>
    </row>
    <row r="279" spans="1:12" x14ac:dyDescent="0.2">
      <c r="A279" s="10">
        <v>18062</v>
      </c>
      <c r="B279" s="11">
        <v>42308</v>
      </c>
      <c r="C279" s="121">
        <v>49.3</v>
      </c>
      <c r="D279" s="12">
        <v>3.76</v>
      </c>
      <c r="E279" s="15" t="s">
        <v>11</v>
      </c>
      <c r="F279" s="21"/>
      <c r="G279" s="22"/>
      <c r="H279" s="118"/>
      <c r="I279" s="125"/>
      <c r="J279" s="126"/>
      <c r="K279" s="150"/>
      <c r="L279" s="126"/>
    </row>
    <row r="280" spans="1:12" x14ac:dyDescent="0.2">
      <c r="A280" s="10">
        <v>18063</v>
      </c>
      <c r="B280" s="11">
        <v>42308</v>
      </c>
      <c r="C280" s="121">
        <v>141.27000000000001</v>
      </c>
      <c r="D280" s="12">
        <v>10.77</v>
      </c>
      <c r="E280" s="15" t="s">
        <v>11</v>
      </c>
      <c r="F280" s="21"/>
      <c r="G280" s="22"/>
      <c r="H280" s="118"/>
      <c r="I280" s="125"/>
      <c r="J280" s="126"/>
      <c r="K280" s="150"/>
      <c r="L280" s="126"/>
    </row>
    <row r="281" spans="1:12" x14ac:dyDescent="0.2">
      <c r="A281" s="10">
        <v>18064</v>
      </c>
      <c r="B281" s="11">
        <v>42308</v>
      </c>
      <c r="C281" s="121">
        <v>500</v>
      </c>
      <c r="D281" s="12">
        <v>38.11</v>
      </c>
      <c r="E281" s="15"/>
      <c r="H281" s="118"/>
      <c r="I281" s="125"/>
      <c r="J281" s="126"/>
      <c r="K281" s="150"/>
      <c r="L281" s="126"/>
    </row>
    <row r="282" spans="1:12" x14ac:dyDescent="0.2">
      <c r="A282" s="10">
        <v>18065</v>
      </c>
      <c r="B282" s="11">
        <v>42308</v>
      </c>
      <c r="C282" s="121">
        <v>197.45000000000002</v>
      </c>
      <c r="D282" s="12">
        <v>15.05</v>
      </c>
      <c r="E282" s="15" t="s">
        <v>7</v>
      </c>
      <c r="F282" s="21"/>
      <c r="G282" s="22"/>
      <c r="H282" s="118"/>
      <c r="I282" s="125"/>
      <c r="J282" s="126"/>
      <c r="K282" s="150"/>
      <c r="L282" s="126"/>
    </row>
    <row r="283" spans="1:12" x14ac:dyDescent="0.2">
      <c r="A283" s="10">
        <v>18066</v>
      </c>
      <c r="B283" s="11">
        <v>42308</v>
      </c>
      <c r="C283" s="121">
        <v>45</v>
      </c>
      <c r="D283" s="12"/>
      <c r="E283" s="15" t="s">
        <v>25</v>
      </c>
      <c r="F283" s="21"/>
      <c r="G283" s="22"/>
      <c r="H283" s="118"/>
      <c r="I283" s="125"/>
      <c r="J283" s="126"/>
      <c r="K283" s="150"/>
      <c r="L283" s="126"/>
    </row>
    <row r="284" spans="1:12" x14ac:dyDescent="0.2">
      <c r="A284" s="10">
        <v>18067</v>
      </c>
      <c r="B284" s="11">
        <v>42308</v>
      </c>
      <c r="C284" s="121">
        <v>69.28</v>
      </c>
      <c r="D284" s="12">
        <v>5.28</v>
      </c>
      <c r="E284" s="15" t="s">
        <v>11</v>
      </c>
      <c r="H284" s="118"/>
      <c r="I284" s="125"/>
      <c r="J284" s="126"/>
      <c r="K284" s="150"/>
      <c r="L284" s="126"/>
    </row>
    <row r="285" spans="1:12" x14ac:dyDescent="0.2">
      <c r="A285" s="10">
        <v>18068</v>
      </c>
      <c r="B285" s="11">
        <v>42308</v>
      </c>
      <c r="C285" s="121">
        <v>37.450000000000003</v>
      </c>
      <c r="D285" s="12">
        <v>2.85</v>
      </c>
      <c r="E285" s="15" t="s">
        <v>11</v>
      </c>
      <c r="H285" s="118"/>
      <c r="I285" s="125"/>
      <c r="J285" s="126"/>
      <c r="K285" s="150"/>
      <c r="L285" s="126"/>
    </row>
    <row r="286" spans="1:12" x14ac:dyDescent="0.2">
      <c r="A286" s="10">
        <v>18069</v>
      </c>
      <c r="B286" s="11">
        <v>42308</v>
      </c>
      <c r="C286" s="121">
        <v>207.3</v>
      </c>
      <c r="D286" s="12">
        <v>15.8</v>
      </c>
      <c r="E286" s="15" t="s">
        <v>11</v>
      </c>
      <c r="H286" s="118"/>
      <c r="I286" s="125"/>
      <c r="J286" s="126"/>
      <c r="K286" s="150"/>
      <c r="L286" s="126"/>
    </row>
    <row r="287" spans="1:12" x14ac:dyDescent="0.2">
      <c r="A287" s="10">
        <v>18070</v>
      </c>
      <c r="B287" s="11">
        <v>42308</v>
      </c>
      <c r="C287" s="121">
        <v>142.62</v>
      </c>
      <c r="D287" s="12">
        <v>10.87</v>
      </c>
      <c r="E287" s="15" t="s">
        <v>11</v>
      </c>
      <c r="H287" s="118"/>
      <c r="I287" s="125"/>
      <c r="J287" s="126"/>
      <c r="K287" s="150"/>
      <c r="L287" s="126"/>
    </row>
    <row r="288" spans="1:12" x14ac:dyDescent="0.2">
      <c r="A288" s="10">
        <v>18071</v>
      </c>
      <c r="B288" s="11">
        <v>42308</v>
      </c>
      <c r="C288" s="121">
        <v>253.85</v>
      </c>
      <c r="D288" s="12">
        <v>19.350000000000001</v>
      </c>
      <c r="E288" s="15" t="s">
        <v>21</v>
      </c>
      <c r="H288" s="118"/>
      <c r="I288" s="125"/>
      <c r="J288" s="126"/>
      <c r="K288" s="150"/>
      <c r="L288" s="126"/>
    </row>
    <row r="289" spans="1:13" x14ac:dyDescent="0.2">
      <c r="A289" s="10">
        <v>18072</v>
      </c>
      <c r="B289" s="11">
        <v>42308</v>
      </c>
      <c r="C289" s="121">
        <v>62.79</v>
      </c>
      <c r="D289" s="12">
        <v>4.79</v>
      </c>
      <c r="E289" s="15" t="s">
        <v>7</v>
      </c>
      <c r="F289" s="21"/>
      <c r="G289" s="22"/>
      <c r="H289" s="118"/>
      <c r="I289" s="125"/>
      <c r="J289" s="126"/>
      <c r="K289" s="150"/>
      <c r="L289" s="126"/>
    </row>
    <row r="290" spans="1:13" x14ac:dyDescent="0.2">
      <c r="A290" s="10">
        <v>18073</v>
      </c>
      <c r="B290" s="11">
        <v>42308</v>
      </c>
      <c r="C290" s="121">
        <v>172.12</v>
      </c>
      <c r="D290" s="12">
        <v>13.12</v>
      </c>
      <c r="E290" s="17"/>
      <c r="F290" s="18"/>
      <c r="G290" s="19"/>
      <c r="H290" s="121"/>
      <c r="I290" s="125"/>
      <c r="J290" s="126"/>
      <c r="K290" s="150"/>
      <c r="L290" s="126"/>
    </row>
    <row r="291" spans="1:13" x14ac:dyDescent="0.2">
      <c r="A291" s="10">
        <v>18074</v>
      </c>
      <c r="B291" s="11">
        <v>42308</v>
      </c>
      <c r="C291" s="121">
        <v>19.43</v>
      </c>
      <c r="D291" s="12">
        <v>1.48</v>
      </c>
      <c r="E291" s="15" t="s">
        <v>11</v>
      </c>
      <c r="H291" s="118"/>
      <c r="I291" s="125"/>
      <c r="J291" s="126"/>
      <c r="K291" s="150"/>
      <c r="L291" s="126"/>
    </row>
    <row r="292" spans="1:13" x14ac:dyDescent="0.2">
      <c r="A292" s="10">
        <v>18075</v>
      </c>
      <c r="B292" s="11">
        <v>42308</v>
      </c>
      <c r="C292" s="121">
        <v>86.6</v>
      </c>
      <c r="D292" s="12">
        <v>6.6</v>
      </c>
      <c r="E292" s="15" t="s">
        <v>7</v>
      </c>
      <c r="F292" s="21"/>
      <c r="G292" s="22"/>
      <c r="H292" s="118"/>
      <c r="I292" s="125"/>
      <c r="J292" s="126"/>
      <c r="K292" s="150"/>
      <c r="L292" s="126"/>
    </row>
    <row r="293" spans="1:13" x14ac:dyDescent="0.2">
      <c r="A293" s="10">
        <v>18076</v>
      </c>
      <c r="B293" s="11">
        <v>42308</v>
      </c>
      <c r="C293" s="12">
        <v>3.25</v>
      </c>
      <c r="D293" s="12">
        <v>0.25</v>
      </c>
      <c r="E293" s="17"/>
      <c r="F293" s="18"/>
      <c r="G293" s="19"/>
      <c r="H293" s="121"/>
      <c r="I293" s="125"/>
      <c r="J293" s="126"/>
      <c r="K293" s="150"/>
      <c r="L293" s="126"/>
    </row>
    <row r="294" spans="1:13" x14ac:dyDescent="0.2">
      <c r="A294" s="10">
        <v>18077</v>
      </c>
      <c r="B294" s="11">
        <v>42308</v>
      </c>
      <c r="C294" s="12">
        <v>70.900000000000006</v>
      </c>
      <c r="D294" s="12">
        <v>5.4</v>
      </c>
      <c r="E294" s="17"/>
      <c r="H294" s="121"/>
      <c r="I294" s="125"/>
      <c r="J294" s="126"/>
      <c r="K294" s="150"/>
      <c r="L294" s="126"/>
    </row>
    <row r="295" spans="1:13" x14ac:dyDescent="0.2">
      <c r="A295" s="10">
        <v>18078</v>
      </c>
      <c r="B295" s="11">
        <v>42308</v>
      </c>
      <c r="C295" s="12">
        <v>25.98</v>
      </c>
      <c r="D295" s="12">
        <v>1.98</v>
      </c>
      <c r="E295" s="17"/>
      <c r="H295" s="121"/>
      <c r="I295" s="125"/>
      <c r="J295" s="126"/>
      <c r="K295" s="150"/>
      <c r="L295" s="126"/>
    </row>
    <row r="296" spans="1:13" x14ac:dyDescent="0.2">
      <c r="A296" s="10">
        <v>18079</v>
      </c>
      <c r="B296" s="11">
        <v>42308</v>
      </c>
      <c r="C296" s="12">
        <v>64.95</v>
      </c>
      <c r="D296" s="12">
        <v>4.95</v>
      </c>
      <c r="E296" s="17"/>
      <c r="F296" s="34">
        <f>+C278+C279+C282+C284+C285+21.65+C287+C280+C289+C291+C292+42.71+C286</f>
        <v>1316.54</v>
      </c>
      <c r="G296" s="34">
        <v>1299.95</v>
      </c>
      <c r="H296" s="121"/>
      <c r="I296" s="125"/>
      <c r="J296" s="126"/>
      <c r="K296" s="150"/>
      <c r="L296" s="126"/>
    </row>
    <row r="297" spans="1:13" x14ac:dyDescent="0.2">
      <c r="E297" s="26"/>
      <c r="F297" s="98"/>
      <c r="G297" s="98"/>
      <c r="H297" s="110"/>
      <c r="I297" s="126"/>
      <c r="J297" s="126"/>
      <c r="K297" s="126"/>
      <c r="L297" s="126"/>
      <c r="M297" s="126"/>
    </row>
    <row r="298" spans="1:13" x14ac:dyDescent="0.2">
      <c r="E298" s="26"/>
      <c r="F298" s="98"/>
      <c r="G298" s="98"/>
      <c r="H298" s="127"/>
      <c r="I298" s="159">
        <f ca="1">H1-WEEKDAY(H1,3)-7</f>
        <v>43171</v>
      </c>
      <c r="J298" s="150" t="e">
        <f t="shared" ref="J298:J311" ca="1" si="0">SUMIF(INDIRECT(TEXT(I298,"'mmm-yy'")&amp;"!B3:B400"),I298,INDIRECT(TEXT(I298,"'mmm-yy'")&amp;"!C3:C400"))</f>
        <v>#REF!</v>
      </c>
      <c r="K298" s="126"/>
      <c r="L298" s="126"/>
      <c r="M298" s="126"/>
    </row>
    <row r="299" spans="1:13" x14ac:dyDescent="0.2">
      <c r="E299" s="26"/>
      <c r="F299" s="98"/>
      <c r="G299" s="98"/>
      <c r="H299" s="125"/>
      <c r="I299" s="159">
        <f t="shared" ref="I299:I311" ca="1" si="1">I298+1</f>
        <v>43172</v>
      </c>
      <c r="J299" s="150" t="e">
        <f t="shared" ca="1" si="0"/>
        <v>#REF!</v>
      </c>
      <c r="K299" s="126"/>
      <c r="L299" s="126"/>
      <c r="M299" s="126"/>
    </row>
    <row r="300" spans="1:13" x14ac:dyDescent="0.2">
      <c r="E300" s="26"/>
      <c r="F300" s="98"/>
      <c r="G300" s="98"/>
      <c r="H300" s="125"/>
      <c r="I300" s="159">
        <f t="shared" ca="1" si="1"/>
        <v>43173</v>
      </c>
      <c r="J300" s="150" t="e">
        <f t="shared" ca="1" si="0"/>
        <v>#REF!</v>
      </c>
      <c r="K300" s="126"/>
      <c r="L300" s="126"/>
      <c r="M300" s="126"/>
    </row>
    <row r="301" spans="1:13" x14ac:dyDescent="0.2">
      <c r="E301" s="26"/>
      <c r="F301" s="98"/>
      <c r="G301" s="98"/>
      <c r="H301" s="127"/>
      <c r="I301" s="159">
        <f t="shared" ca="1" si="1"/>
        <v>43174</v>
      </c>
      <c r="J301" s="150" t="e">
        <f t="shared" ca="1" si="0"/>
        <v>#REF!</v>
      </c>
      <c r="K301" s="126"/>
      <c r="L301" s="126"/>
      <c r="M301" s="126"/>
    </row>
    <row r="302" spans="1:13" x14ac:dyDescent="0.2">
      <c r="E302" s="26"/>
      <c r="F302" s="98"/>
      <c r="G302" s="98"/>
      <c r="H302" s="127"/>
      <c r="I302" s="159">
        <f t="shared" ca="1" si="1"/>
        <v>43175</v>
      </c>
      <c r="J302" s="150" t="e">
        <f t="shared" ca="1" si="0"/>
        <v>#REF!</v>
      </c>
      <c r="K302" s="126"/>
      <c r="L302" s="126"/>
      <c r="M302" s="126"/>
    </row>
    <row r="303" spans="1:13" x14ac:dyDescent="0.2">
      <c r="E303" s="26"/>
      <c r="F303" s="98"/>
      <c r="G303" s="98"/>
      <c r="H303" s="125"/>
      <c r="I303" s="159">
        <f t="shared" ca="1" si="1"/>
        <v>43176</v>
      </c>
      <c r="J303" s="150" t="e">
        <f t="shared" ca="1" si="0"/>
        <v>#REF!</v>
      </c>
      <c r="K303" s="126"/>
      <c r="L303" s="126"/>
      <c r="M303" s="126"/>
    </row>
    <row r="304" spans="1:13" x14ac:dyDescent="0.2">
      <c r="E304" s="26"/>
      <c r="F304" s="98"/>
      <c r="G304" s="98"/>
      <c r="H304" s="127"/>
      <c r="I304" s="159">
        <f t="shared" ca="1" si="1"/>
        <v>43177</v>
      </c>
      <c r="J304" s="150" t="e">
        <f t="shared" ca="1" si="0"/>
        <v>#REF!</v>
      </c>
      <c r="K304" s="150" t="e">
        <f ca="1">SUM(J298:J304)</f>
        <v>#REF!</v>
      </c>
      <c r="L304" s="126"/>
      <c r="M304" s="126"/>
    </row>
    <row r="305" spans="5:13" x14ac:dyDescent="0.2">
      <c r="E305" s="26"/>
      <c r="F305" s="98"/>
      <c r="G305" s="98"/>
      <c r="H305" s="127"/>
      <c r="I305" s="159">
        <f t="shared" ca="1" si="1"/>
        <v>43178</v>
      </c>
      <c r="J305" s="150" t="e">
        <f t="shared" ca="1" si="0"/>
        <v>#REF!</v>
      </c>
      <c r="K305" s="150"/>
      <c r="L305" s="126"/>
      <c r="M305" s="126"/>
    </row>
    <row r="306" spans="5:13" x14ac:dyDescent="0.2">
      <c r="E306" s="26"/>
      <c r="F306" s="98"/>
      <c r="G306" s="98"/>
      <c r="H306" s="127"/>
      <c r="I306" s="159">
        <f t="shared" ca="1" si="1"/>
        <v>43179</v>
      </c>
      <c r="J306" s="150" t="e">
        <f t="shared" ca="1" si="0"/>
        <v>#REF!</v>
      </c>
      <c r="K306" s="150"/>
      <c r="L306" s="126"/>
      <c r="M306" s="126"/>
    </row>
    <row r="307" spans="5:13" x14ac:dyDescent="0.2">
      <c r="E307" s="26"/>
      <c r="F307" s="98"/>
      <c r="G307" s="98"/>
      <c r="H307" s="127"/>
      <c r="I307" s="159">
        <f t="shared" ca="1" si="1"/>
        <v>43180</v>
      </c>
      <c r="J307" s="150" t="e">
        <f t="shared" ca="1" si="0"/>
        <v>#REF!</v>
      </c>
      <c r="K307" s="150"/>
      <c r="L307" s="126"/>
      <c r="M307" s="126"/>
    </row>
    <row r="308" spans="5:13" x14ac:dyDescent="0.2">
      <c r="E308" s="26"/>
      <c r="F308" s="98"/>
      <c r="G308" s="98"/>
      <c r="H308" s="127"/>
      <c r="I308" s="159">
        <f t="shared" ca="1" si="1"/>
        <v>43181</v>
      </c>
      <c r="J308" s="150" t="e">
        <f t="shared" ca="1" si="0"/>
        <v>#REF!</v>
      </c>
      <c r="K308" s="150"/>
      <c r="L308" s="126"/>
      <c r="M308" s="126"/>
    </row>
    <row r="309" spans="5:13" x14ac:dyDescent="0.2">
      <c r="E309" s="26"/>
      <c r="F309" s="98"/>
      <c r="G309" s="98"/>
      <c r="H309" s="127"/>
      <c r="I309" s="159">
        <f t="shared" ca="1" si="1"/>
        <v>43182</v>
      </c>
      <c r="J309" s="150" t="e">
        <f t="shared" ca="1" si="0"/>
        <v>#REF!</v>
      </c>
      <c r="K309" s="150"/>
      <c r="L309" s="126"/>
      <c r="M309" s="126"/>
    </row>
    <row r="310" spans="5:13" x14ac:dyDescent="0.2">
      <c r="E310" s="26"/>
      <c r="F310" s="98"/>
      <c r="G310" s="98"/>
      <c r="H310" s="110"/>
      <c r="I310" s="159">
        <f t="shared" ca="1" si="1"/>
        <v>43183</v>
      </c>
      <c r="J310" s="150" t="e">
        <f t="shared" ca="1" si="0"/>
        <v>#REF!</v>
      </c>
      <c r="K310" s="150"/>
      <c r="L310" s="126"/>
      <c r="M310" s="126"/>
    </row>
    <row r="311" spans="5:13" x14ac:dyDescent="0.2">
      <c r="E311" s="26"/>
      <c r="F311" s="98"/>
      <c r="G311" s="98"/>
      <c r="H311" s="110"/>
      <c r="I311" s="159">
        <f t="shared" ca="1" si="1"/>
        <v>43184</v>
      </c>
      <c r="J311" s="150" t="e">
        <f t="shared" ca="1" si="0"/>
        <v>#REF!</v>
      </c>
      <c r="K311" s="150" t="e">
        <f ca="1">SUM(J305:J311)</f>
        <v>#REF!</v>
      </c>
      <c r="L311" s="126"/>
      <c r="M311" s="126"/>
    </row>
    <row r="312" spans="5:13" x14ac:dyDescent="0.2">
      <c r="E312" s="26"/>
      <c r="H312" s="110"/>
      <c r="I312" s="126"/>
      <c r="J312" s="150"/>
      <c r="K312" s="126"/>
      <c r="L312" s="126"/>
      <c r="M312" s="126"/>
    </row>
    <row r="313" spans="5:13" x14ac:dyDescent="0.2">
      <c r="E313" s="26"/>
      <c r="H313" s="110"/>
      <c r="I313" s="126"/>
      <c r="J313" s="126"/>
      <c r="K313" s="126"/>
      <c r="L313" s="126"/>
      <c r="M313" s="126"/>
    </row>
    <row r="314" spans="5:13" x14ac:dyDescent="0.2">
      <c r="E314" s="26"/>
      <c r="H314" s="110"/>
      <c r="I314" s="126"/>
      <c r="J314" s="126"/>
      <c r="K314" s="126"/>
      <c r="L314" s="126"/>
      <c r="M314" s="126"/>
    </row>
    <row r="315" spans="5:13" x14ac:dyDescent="0.2">
      <c r="E315" s="26"/>
      <c r="H315" s="122"/>
      <c r="I315" s="98"/>
      <c r="J315" s="98"/>
      <c r="K315" s="98"/>
      <c r="L315" s="126"/>
      <c r="M315" s="126"/>
    </row>
    <row r="316" spans="5:13" x14ac:dyDescent="0.2">
      <c r="E316" s="26"/>
    </row>
    <row r="317" spans="5:13" x14ac:dyDescent="0.2">
      <c r="E317" s="26"/>
    </row>
    <row r="318" spans="5:13" x14ac:dyDescent="0.2">
      <c r="E318" s="26"/>
    </row>
    <row r="319" spans="5:13" x14ac:dyDescent="0.2">
      <c r="E319" s="26"/>
    </row>
    <row r="320" spans="5:13" x14ac:dyDescent="0.2">
      <c r="E320" s="26"/>
    </row>
    <row r="321" spans="1:10" x14ac:dyDescent="0.2">
      <c r="E321" s="26"/>
    </row>
    <row r="322" spans="1:10" x14ac:dyDescent="0.2">
      <c r="E322" s="26"/>
    </row>
    <row r="323" spans="1:10" x14ac:dyDescent="0.2">
      <c r="E323" s="26"/>
    </row>
    <row r="324" spans="1:10" x14ac:dyDescent="0.2">
      <c r="E324" s="26"/>
    </row>
    <row r="325" spans="1:10" x14ac:dyDescent="0.2">
      <c r="E325" s="26"/>
    </row>
    <row r="326" spans="1:10" x14ac:dyDescent="0.2">
      <c r="E326" s="26"/>
    </row>
    <row r="327" spans="1:10" x14ac:dyDescent="0.2">
      <c r="E327" s="26"/>
    </row>
    <row r="328" spans="1:10" s="29" customFormat="1" x14ac:dyDescent="0.2">
      <c r="A328" s="4"/>
      <c r="B328" s="11"/>
      <c r="C328" s="25"/>
      <c r="D328" s="4"/>
      <c r="E328" s="26"/>
      <c r="F328" s="4"/>
      <c r="G328" s="4"/>
      <c r="H328" s="25"/>
      <c r="I328" s="4"/>
      <c r="J328" s="4"/>
    </row>
    <row r="329" spans="1:10" s="29" customFormat="1" x14ac:dyDescent="0.2">
      <c r="A329" s="4"/>
      <c r="B329" s="11"/>
      <c r="C329" s="25"/>
      <c r="D329" s="4"/>
      <c r="E329" s="26"/>
      <c r="F329" s="4"/>
      <c r="G329" s="4"/>
      <c r="H329" s="25"/>
      <c r="I329" s="4"/>
      <c r="J329" s="4"/>
    </row>
    <row r="330" spans="1:10" x14ac:dyDescent="0.2">
      <c r="E330" s="26"/>
    </row>
    <row r="331" spans="1:10" x14ac:dyDescent="0.2">
      <c r="E331" s="26"/>
    </row>
    <row r="332" spans="1:10" x14ac:dyDescent="0.2">
      <c r="E332" s="26"/>
    </row>
    <row r="333" spans="1:10" x14ac:dyDescent="0.2">
      <c r="E333" s="26"/>
    </row>
    <row r="334" spans="1:10" x14ac:dyDescent="0.2">
      <c r="A334" s="29"/>
      <c r="B334" s="30"/>
      <c r="C334" s="31"/>
      <c r="D334" s="29"/>
      <c r="E334" s="32"/>
      <c r="F334" s="29"/>
      <c r="G334" s="29"/>
      <c r="H334" s="31"/>
      <c r="I334" s="29"/>
      <c r="J334" s="29"/>
    </row>
    <row r="335" spans="1:10" x14ac:dyDescent="0.2">
      <c r="A335" s="29"/>
      <c r="B335" s="30"/>
      <c r="C335" s="31"/>
      <c r="D335" s="29"/>
      <c r="E335" s="32"/>
      <c r="F335" s="29"/>
      <c r="G335" s="29"/>
      <c r="H335" s="31"/>
      <c r="I335" s="29"/>
      <c r="J335" s="29"/>
    </row>
    <row r="336" spans="1:10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  <row r="3289" spans="5:5" x14ac:dyDescent="0.2">
      <c r="E3289" s="26"/>
    </row>
    <row r="3290" spans="5:5" x14ac:dyDescent="0.2">
      <c r="E3290" s="26"/>
    </row>
    <row r="3291" spans="5:5" x14ac:dyDescent="0.2">
      <c r="E3291" s="26"/>
    </row>
    <row r="3292" spans="5:5" x14ac:dyDescent="0.2">
      <c r="E3292" s="26"/>
    </row>
    <row r="3293" spans="5:5" x14ac:dyDescent="0.2">
      <c r="E3293" s="26"/>
    </row>
    <row r="3294" spans="5:5" x14ac:dyDescent="0.2">
      <c r="E3294" s="26"/>
    </row>
    <row r="3295" spans="5:5" x14ac:dyDescent="0.2">
      <c r="E3295" s="26"/>
    </row>
    <row r="3296" spans="5:5" x14ac:dyDescent="0.2">
      <c r="E3296" s="26"/>
    </row>
    <row r="3297" spans="5:5" x14ac:dyDescent="0.2">
      <c r="E3297" s="26"/>
    </row>
    <row r="3298" spans="5:5" x14ac:dyDescent="0.2">
      <c r="E3298" s="26"/>
    </row>
    <row r="3299" spans="5:5" x14ac:dyDescent="0.2">
      <c r="E3299" s="26"/>
    </row>
    <row r="3300" spans="5:5" x14ac:dyDescent="0.2">
      <c r="E3300" s="26"/>
    </row>
    <row r="3301" spans="5:5" x14ac:dyDescent="0.2">
      <c r="E3301" s="26"/>
    </row>
    <row r="3302" spans="5:5" x14ac:dyDescent="0.2">
      <c r="E3302" s="26"/>
    </row>
    <row r="3303" spans="5:5" x14ac:dyDescent="0.2">
      <c r="E3303" s="26"/>
    </row>
    <row r="3304" spans="5:5" x14ac:dyDescent="0.2">
      <c r="E3304" s="26"/>
    </row>
    <row r="3305" spans="5:5" x14ac:dyDescent="0.2">
      <c r="E3305" s="26"/>
    </row>
    <row r="3306" spans="5:5" x14ac:dyDescent="0.2">
      <c r="E3306" s="26"/>
    </row>
    <row r="3307" spans="5:5" x14ac:dyDescent="0.2">
      <c r="E3307" s="26"/>
    </row>
    <row r="3308" spans="5:5" x14ac:dyDescent="0.2">
      <c r="E3308" s="26"/>
    </row>
    <row r="3309" spans="5:5" x14ac:dyDescent="0.2">
      <c r="E3309" s="26"/>
    </row>
    <row r="3310" spans="5:5" x14ac:dyDescent="0.2">
      <c r="E3310" s="26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3288"/>
  <sheetViews>
    <sheetView topLeftCell="A225" workbookViewId="0">
      <selection activeCell="A273" sqref="A273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28515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60" t="s">
        <v>0</v>
      </c>
      <c r="B1" s="2"/>
      <c r="C1" s="3">
        <f>SUM(C189:C470)</f>
        <v>12505.75</v>
      </c>
      <c r="D1" s="3">
        <f>SUM(D189:D470)</f>
        <v>791.72000000000014</v>
      </c>
      <c r="F1" s="166">
        <f>SUM(F3:F5032)</f>
        <v>9136.0099999999984</v>
      </c>
      <c r="G1" s="166">
        <f>SUM(G3:G5032)</f>
        <v>8661.7785598999999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s="8" customFormat="1" x14ac:dyDescent="0.2">
      <c r="A3" s="10">
        <v>22591</v>
      </c>
      <c r="B3" s="11">
        <v>42826</v>
      </c>
      <c r="C3" s="12">
        <v>-19.27</v>
      </c>
      <c r="D3" s="12">
        <v>-1.47</v>
      </c>
      <c r="E3" s="15"/>
      <c r="I3" s="16"/>
    </row>
    <row r="4" spans="1:10" s="8" customFormat="1" x14ac:dyDescent="0.2">
      <c r="A4" s="10">
        <v>22592</v>
      </c>
      <c r="B4" s="11">
        <v>42826</v>
      </c>
      <c r="C4" s="12">
        <v>2.17</v>
      </c>
      <c r="D4" s="12">
        <v>0.17</v>
      </c>
      <c r="E4" s="17"/>
      <c r="I4" s="16"/>
    </row>
    <row r="5" spans="1:10" s="8" customFormat="1" x14ac:dyDescent="0.2">
      <c r="A5" s="10">
        <v>22593</v>
      </c>
      <c r="B5" s="11">
        <v>42826</v>
      </c>
      <c r="C5" s="12">
        <v>43.3</v>
      </c>
      <c r="D5" s="12">
        <v>3.3</v>
      </c>
      <c r="E5" s="17"/>
      <c r="F5" s="18"/>
      <c r="G5" s="19"/>
      <c r="H5" s="12"/>
      <c r="I5" s="16"/>
    </row>
    <row r="6" spans="1:10" s="8" customFormat="1" x14ac:dyDescent="0.2">
      <c r="A6" s="10">
        <v>22594</v>
      </c>
      <c r="B6" s="11">
        <v>42826</v>
      </c>
      <c r="C6" s="12">
        <v>10</v>
      </c>
      <c r="D6" s="12">
        <v>0.76</v>
      </c>
      <c r="E6" s="17"/>
      <c r="I6" s="16"/>
    </row>
    <row r="7" spans="1:10" s="8" customFormat="1" x14ac:dyDescent="0.2">
      <c r="A7" s="10">
        <v>22595</v>
      </c>
      <c r="B7" s="11">
        <v>42826</v>
      </c>
      <c r="C7" s="12">
        <v>159.13</v>
      </c>
      <c r="D7" s="12">
        <v>12.13</v>
      </c>
      <c r="E7" s="17"/>
      <c r="F7" s="18"/>
      <c r="G7" s="19"/>
      <c r="H7" s="12"/>
      <c r="I7" s="16"/>
    </row>
    <row r="8" spans="1:10" s="8" customFormat="1" x14ac:dyDescent="0.2">
      <c r="A8" s="10">
        <v>22596</v>
      </c>
      <c r="B8" s="11">
        <v>42826</v>
      </c>
      <c r="C8" s="12">
        <v>4.33</v>
      </c>
      <c r="D8" s="12">
        <v>0.33</v>
      </c>
      <c r="E8" s="17"/>
      <c r="F8" s="18"/>
      <c r="G8" s="19"/>
      <c r="H8" s="12"/>
      <c r="I8" s="16"/>
    </row>
    <row r="9" spans="1:10" s="8" customFormat="1" x14ac:dyDescent="0.2">
      <c r="A9" s="10">
        <v>22597</v>
      </c>
      <c r="B9" s="11">
        <v>42826</v>
      </c>
      <c r="C9" s="12">
        <v>3.79</v>
      </c>
      <c r="D9" s="12">
        <v>0.28999999999999998</v>
      </c>
      <c r="E9" s="17"/>
      <c r="F9" s="18"/>
      <c r="G9" s="19"/>
      <c r="H9" s="12"/>
      <c r="I9" s="16"/>
    </row>
    <row r="10" spans="1:10" s="8" customFormat="1" x14ac:dyDescent="0.2">
      <c r="A10" s="10">
        <v>22598</v>
      </c>
      <c r="B10" s="11">
        <v>42826</v>
      </c>
      <c r="C10" s="12">
        <v>10.83</v>
      </c>
      <c r="D10" s="12">
        <v>0.83</v>
      </c>
      <c r="E10" s="17"/>
      <c r="F10" s="18"/>
      <c r="G10" s="19"/>
      <c r="H10" s="12"/>
      <c r="I10" s="16"/>
    </row>
    <row r="11" spans="1:10" s="8" customFormat="1" x14ac:dyDescent="0.2">
      <c r="A11" s="10">
        <v>22599</v>
      </c>
      <c r="B11" s="11">
        <v>42826</v>
      </c>
      <c r="C11" s="12">
        <v>12.99</v>
      </c>
      <c r="D11" s="12">
        <v>0.99</v>
      </c>
      <c r="E11" s="15"/>
      <c r="F11" s="21"/>
      <c r="G11" s="22"/>
      <c r="H11" s="10"/>
      <c r="I11" s="16"/>
    </row>
    <row r="12" spans="1:10" s="8" customFormat="1" x14ac:dyDescent="0.2">
      <c r="A12" s="10">
        <v>22600</v>
      </c>
      <c r="B12" s="11">
        <v>42826</v>
      </c>
      <c r="C12" s="12">
        <v>19.5</v>
      </c>
      <c r="D12" s="12"/>
      <c r="E12" s="13" t="s">
        <v>58</v>
      </c>
      <c r="F12" s="18"/>
      <c r="G12" s="19"/>
      <c r="H12" s="12"/>
      <c r="I12" s="16"/>
    </row>
    <row r="13" spans="1:10" s="8" customFormat="1" x14ac:dyDescent="0.2">
      <c r="A13" s="10">
        <v>22601</v>
      </c>
      <c r="B13" s="11">
        <v>42826</v>
      </c>
      <c r="C13" s="12">
        <v>226.24</v>
      </c>
      <c r="D13" s="12">
        <v>17.239999999999998</v>
      </c>
      <c r="E13" s="15" t="s">
        <v>533</v>
      </c>
      <c r="I13" s="16"/>
    </row>
    <row r="14" spans="1:10" s="8" customFormat="1" x14ac:dyDescent="0.2">
      <c r="A14" s="10">
        <v>22602</v>
      </c>
      <c r="B14" s="11">
        <v>42826</v>
      </c>
      <c r="C14" s="12">
        <v>31</v>
      </c>
      <c r="D14" s="12"/>
      <c r="E14" s="15" t="s">
        <v>981</v>
      </c>
      <c r="I14" s="16"/>
    </row>
    <row r="15" spans="1:10" s="8" customFormat="1" x14ac:dyDescent="0.2">
      <c r="A15" s="10">
        <v>22603</v>
      </c>
      <c r="B15" s="11">
        <v>42826</v>
      </c>
      <c r="C15" s="12">
        <v>10</v>
      </c>
      <c r="D15" s="12">
        <v>0.76</v>
      </c>
      <c r="E15" s="17"/>
      <c r="F15" s="18"/>
      <c r="G15" s="19"/>
      <c r="H15" s="12"/>
      <c r="I15" s="16"/>
    </row>
    <row r="16" spans="1:10" s="8" customFormat="1" x14ac:dyDescent="0.2">
      <c r="A16" s="10">
        <v>22604</v>
      </c>
      <c r="B16" s="11">
        <v>42826</v>
      </c>
      <c r="C16" s="12">
        <v>14</v>
      </c>
      <c r="D16" s="12">
        <v>1.07</v>
      </c>
      <c r="E16" s="17"/>
      <c r="I16" s="16"/>
    </row>
    <row r="17" spans="1:9" s="8" customFormat="1" x14ac:dyDescent="0.2">
      <c r="A17" s="10">
        <v>22605</v>
      </c>
      <c r="B17" s="11">
        <v>42826</v>
      </c>
      <c r="C17" s="12">
        <v>33.56</v>
      </c>
      <c r="D17" s="12">
        <v>2.56</v>
      </c>
      <c r="E17" s="15" t="s">
        <v>533</v>
      </c>
      <c r="F17" s="21"/>
      <c r="G17" s="22"/>
      <c r="H17" s="10"/>
      <c r="I17" s="16"/>
    </row>
    <row r="18" spans="1:9" s="8" customFormat="1" x14ac:dyDescent="0.2">
      <c r="A18" s="10">
        <v>22606</v>
      </c>
      <c r="B18" s="11">
        <v>42826</v>
      </c>
      <c r="C18" s="12">
        <v>21.65</v>
      </c>
      <c r="D18" s="12">
        <v>1.65</v>
      </c>
      <c r="E18" s="15" t="s">
        <v>533</v>
      </c>
      <c r="I18" s="16"/>
    </row>
    <row r="19" spans="1:9" s="8" customFormat="1" x14ac:dyDescent="0.2">
      <c r="A19" s="10">
        <v>22607</v>
      </c>
      <c r="B19" s="11">
        <v>42826</v>
      </c>
      <c r="C19" s="12">
        <v>29.23</v>
      </c>
      <c r="D19" s="12">
        <v>2.23</v>
      </c>
      <c r="E19" s="15" t="s">
        <v>533</v>
      </c>
      <c r="F19" s="21"/>
      <c r="G19" s="22"/>
      <c r="H19" s="10"/>
      <c r="I19" s="16"/>
    </row>
    <row r="20" spans="1:9" s="8" customFormat="1" x14ac:dyDescent="0.2">
      <c r="A20" s="10">
        <v>22608</v>
      </c>
      <c r="B20" s="11">
        <v>42826</v>
      </c>
      <c r="C20" s="12">
        <v>61</v>
      </c>
      <c r="D20" s="12">
        <v>4.6500000000000004</v>
      </c>
      <c r="E20" s="15" t="s">
        <v>533</v>
      </c>
      <c r="I20" s="16"/>
    </row>
    <row r="21" spans="1:9" s="8" customFormat="1" x14ac:dyDescent="0.2">
      <c r="A21" s="10">
        <v>22609</v>
      </c>
      <c r="B21" s="11">
        <v>42826</v>
      </c>
      <c r="C21" s="12">
        <v>104</v>
      </c>
      <c r="D21" s="12">
        <v>7.93</v>
      </c>
      <c r="E21" s="15" t="s">
        <v>533</v>
      </c>
      <c r="F21" s="20">
        <v>475.68</v>
      </c>
      <c r="G21" s="20">
        <v>398.47</v>
      </c>
      <c r="H21" s="253"/>
      <c r="I21" s="16"/>
    </row>
    <row r="22" spans="1:9" s="8" customFormat="1" x14ac:dyDescent="0.2">
      <c r="A22" s="10">
        <v>22610</v>
      </c>
      <c r="B22" s="11">
        <v>42828</v>
      </c>
      <c r="C22" s="12">
        <v>197.5</v>
      </c>
      <c r="D22" s="12"/>
      <c r="E22" s="15" t="s">
        <v>363</v>
      </c>
      <c r="F22" s="21"/>
      <c r="G22" s="22"/>
      <c r="H22" s="10"/>
      <c r="I22" s="16"/>
    </row>
    <row r="23" spans="1:9" s="8" customFormat="1" x14ac:dyDescent="0.2">
      <c r="A23" s="10">
        <v>22611</v>
      </c>
      <c r="B23" s="11">
        <v>42828</v>
      </c>
      <c r="C23" s="12">
        <v>281.45</v>
      </c>
      <c r="D23" s="12">
        <v>21.45</v>
      </c>
      <c r="E23" s="15" t="s">
        <v>533</v>
      </c>
      <c r="I23" s="16"/>
    </row>
    <row r="24" spans="1:9" s="8" customFormat="1" x14ac:dyDescent="0.2">
      <c r="A24" s="10">
        <v>22612</v>
      </c>
      <c r="B24" s="11">
        <v>42828</v>
      </c>
      <c r="C24" s="12">
        <v>54.13</v>
      </c>
      <c r="D24" s="12">
        <v>4.13</v>
      </c>
      <c r="E24" s="15" t="s">
        <v>533</v>
      </c>
      <c r="F24" s="21"/>
      <c r="G24" s="22"/>
      <c r="H24" s="10"/>
      <c r="I24" s="16"/>
    </row>
    <row r="25" spans="1:9" s="8" customFormat="1" x14ac:dyDescent="0.2">
      <c r="A25" s="10">
        <v>22613</v>
      </c>
      <c r="B25" s="11">
        <v>42828</v>
      </c>
      <c r="C25" s="12">
        <v>164.54</v>
      </c>
      <c r="D25" s="12">
        <v>12.54</v>
      </c>
      <c r="E25" s="15" t="s">
        <v>533</v>
      </c>
      <c r="F25" s="21"/>
      <c r="G25" s="22"/>
      <c r="H25" s="10"/>
      <c r="I25" s="16"/>
    </row>
    <row r="26" spans="1:9" s="8" customFormat="1" x14ac:dyDescent="0.2">
      <c r="A26" s="10">
        <v>22614</v>
      </c>
      <c r="B26" s="11">
        <v>42828</v>
      </c>
      <c r="C26" s="12">
        <v>473.6</v>
      </c>
      <c r="D26" s="12"/>
      <c r="E26" s="15" t="s">
        <v>363</v>
      </c>
      <c r="F26" s="21"/>
      <c r="G26" s="22"/>
      <c r="H26" s="10"/>
      <c r="I26" s="16"/>
    </row>
    <row r="27" spans="1:9" s="8" customFormat="1" x14ac:dyDescent="0.2">
      <c r="A27" s="10">
        <v>22615</v>
      </c>
      <c r="B27" s="11">
        <v>42828</v>
      </c>
      <c r="C27" s="12">
        <v>5</v>
      </c>
      <c r="D27" s="12">
        <v>0.38</v>
      </c>
      <c r="E27" s="17"/>
      <c r="I27" s="16"/>
    </row>
    <row r="28" spans="1:9" s="8" customFormat="1" x14ac:dyDescent="0.2">
      <c r="A28" s="10">
        <v>22616</v>
      </c>
      <c r="B28" s="11">
        <v>42828</v>
      </c>
      <c r="C28" s="12">
        <v>64.95</v>
      </c>
      <c r="D28" s="12">
        <v>4.95</v>
      </c>
      <c r="E28" s="17"/>
      <c r="F28" s="18"/>
      <c r="G28" s="19"/>
      <c r="H28" s="12"/>
      <c r="I28" s="16"/>
    </row>
    <row r="29" spans="1:9" s="8" customFormat="1" x14ac:dyDescent="0.2">
      <c r="A29" s="10">
        <v>22617</v>
      </c>
      <c r="B29" s="11">
        <v>42828</v>
      </c>
      <c r="C29" s="12">
        <v>206</v>
      </c>
      <c r="D29" s="12">
        <v>15.7</v>
      </c>
      <c r="E29" s="17"/>
      <c r="F29" s="18"/>
      <c r="G29" s="19"/>
      <c r="H29" s="12"/>
      <c r="I29" s="16"/>
    </row>
    <row r="30" spans="1:9" s="8" customFormat="1" x14ac:dyDescent="0.2">
      <c r="A30" s="10">
        <v>22618</v>
      </c>
      <c r="B30" s="11">
        <v>42828</v>
      </c>
      <c r="C30" s="12">
        <v>43.25</v>
      </c>
      <c r="D30" s="12">
        <v>3.3</v>
      </c>
      <c r="E30" s="17"/>
      <c r="I30" s="16"/>
    </row>
    <row r="31" spans="1:9" s="8" customFormat="1" x14ac:dyDescent="0.2">
      <c r="A31" s="10">
        <v>22619</v>
      </c>
      <c r="B31" s="11">
        <v>42828</v>
      </c>
      <c r="C31" s="12">
        <v>49.74</v>
      </c>
      <c r="D31" s="12">
        <v>3.79</v>
      </c>
      <c r="E31" s="15" t="s">
        <v>533</v>
      </c>
      <c r="I31" s="16"/>
    </row>
    <row r="32" spans="1:9" s="8" customFormat="1" x14ac:dyDescent="0.2">
      <c r="A32" s="10">
        <v>22620</v>
      </c>
      <c r="B32" s="11">
        <v>42828</v>
      </c>
      <c r="C32" s="12">
        <v>153.72</v>
      </c>
      <c r="D32" s="12">
        <v>11.72</v>
      </c>
      <c r="E32" s="15" t="s">
        <v>982</v>
      </c>
      <c r="I32" s="16"/>
    </row>
    <row r="33" spans="1:9" s="8" customFormat="1" x14ac:dyDescent="0.2">
      <c r="A33" s="10">
        <v>22621</v>
      </c>
      <c r="B33" s="11">
        <v>42828</v>
      </c>
      <c r="C33" s="12">
        <v>458.44</v>
      </c>
      <c r="D33" s="12">
        <v>28.84</v>
      </c>
      <c r="E33" s="15" t="s">
        <v>21</v>
      </c>
      <c r="F33" s="21"/>
      <c r="G33" s="22"/>
      <c r="H33" s="10"/>
      <c r="I33" s="16"/>
    </row>
    <row r="34" spans="1:9" s="8" customFormat="1" x14ac:dyDescent="0.2">
      <c r="A34" s="10">
        <v>22622</v>
      </c>
      <c r="B34" s="11">
        <v>42828</v>
      </c>
      <c r="C34" s="12">
        <v>100</v>
      </c>
      <c r="D34" s="12">
        <v>7.62</v>
      </c>
      <c r="E34" s="15" t="s">
        <v>533</v>
      </c>
      <c r="F34" s="134">
        <v>0</v>
      </c>
      <c r="G34" s="123">
        <f>+F34*0.97831</f>
        <v>0</v>
      </c>
      <c r="H34" s="253" t="s">
        <v>983</v>
      </c>
      <c r="I34" s="16"/>
    </row>
    <row r="35" spans="1:9" s="8" customFormat="1" x14ac:dyDescent="0.2">
      <c r="A35" s="10">
        <v>22623</v>
      </c>
      <c r="B35" s="11">
        <v>42829</v>
      </c>
      <c r="C35" s="12">
        <v>21</v>
      </c>
      <c r="D35" s="12">
        <v>1.6</v>
      </c>
      <c r="E35" s="17"/>
      <c r="I35" s="16"/>
    </row>
    <row r="36" spans="1:9" s="8" customFormat="1" x14ac:dyDescent="0.2">
      <c r="A36" s="10">
        <v>22624</v>
      </c>
      <c r="B36" s="11">
        <v>42829</v>
      </c>
      <c r="C36" s="12">
        <v>40.049999999999997</v>
      </c>
      <c r="D36" s="12">
        <v>3.05</v>
      </c>
      <c r="E36" s="15" t="s">
        <v>21</v>
      </c>
      <c r="F36" s="21"/>
      <c r="G36" s="22"/>
      <c r="H36" s="10"/>
      <c r="I36" s="16"/>
    </row>
    <row r="37" spans="1:9" s="8" customFormat="1" x14ac:dyDescent="0.2">
      <c r="A37" s="10">
        <v>22625</v>
      </c>
      <c r="B37" s="11">
        <v>42829</v>
      </c>
      <c r="C37" s="12">
        <v>13.040000000000001</v>
      </c>
      <c r="D37" s="12">
        <v>0.99</v>
      </c>
      <c r="E37" s="15" t="s">
        <v>533</v>
      </c>
      <c r="F37" s="21"/>
      <c r="G37" s="22"/>
      <c r="H37" s="10"/>
      <c r="I37" s="16"/>
    </row>
    <row r="38" spans="1:9" s="8" customFormat="1" x14ac:dyDescent="0.2">
      <c r="A38" s="10">
        <v>22626</v>
      </c>
      <c r="B38" s="11">
        <v>42829</v>
      </c>
      <c r="C38" s="12">
        <v>28.04</v>
      </c>
      <c r="D38" s="12">
        <v>2.14</v>
      </c>
      <c r="E38" s="17"/>
      <c r="I38" s="16"/>
    </row>
    <row r="39" spans="1:9" s="8" customFormat="1" x14ac:dyDescent="0.2">
      <c r="A39" s="10">
        <v>22627</v>
      </c>
      <c r="B39" s="11">
        <v>42829</v>
      </c>
      <c r="C39" s="12">
        <v>40</v>
      </c>
      <c r="D39" s="12">
        <v>3.05</v>
      </c>
      <c r="E39" s="17"/>
      <c r="F39" s="18"/>
      <c r="G39" s="19"/>
      <c r="H39" s="12"/>
      <c r="I39" s="16"/>
    </row>
    <row r="40" spans="1:9" s="8" customFormat="1" x14ac:dyDescent="0.2">
      <c r="A40" s="10">
        <v>22628</v>
      </c>
      <c r="B40" s="11">
        <v>42829</v>
      </c>
      <c r="C40" s="12">
        <v>117.99</v>
      </c>
      <c r="D40" s="12">
        <v>8.99</v>
      </c>
      <c r="E40" s="17"/>
      <c r="F40" s="18"/>
      <c r="G40" s="19"/>
      <c r="H40" s="12"/>
      <c r="I40" s="16"/>
    </row>
    <row r="41" spans="1:9" s="8" customFormat="1" x14ac:dyDescent="0.2">
      <c r="A41" s="10">
        <v>22629</v>
      </c>
      <c r="B41" s="11">
        <v>42829</v>
      </c>
      <c r="C41" s="12">
        <v>88.77</v>
      </c>
      <c r="D41" s="12">
        <v>6.77</v>
      </c>
      <c r="E41" s="17"/>
      <c r="F41" s="18"/>
      <c r="G41" s="19"/>
      <c r="H41" s="12"/>
      <c r="I41" s="16"/>
    </row>
    <row r="42" spans="1:9" s="8" customFormat="1" x14ac:dyDescent="0.2">
      <c r="A42" s="10">
        <v>22630</v>
      </c>
      <c r="B42" s="11">
        <v>42829</v>
      </c>
      <c r="C42" s="12">
        <v>241.4</v>
      </c>
      <c r="D42" s="12">
        <v>18.399999999999999</v>
      </c>
      <c r="E42" s="15" t="s">
        <v>11</v>
      </c>
      <c r="I42" s="16"/>
    </row>
    <row r="43" spans="1:9" s="8" customFormat="1" x14ac:dyDescent="0.2">
      <c r="A43" s="10">
        <v>22631</v>
      </c>
      <c r="B43" s="11">
        <v>42829</v>
      </c>
      <c r="C43" s="12">
        <v>32.479999999999997</v>
      </c>
      <c r="D43" s="12">
        <v>2.48</v>
      </c>
      <c r="E43" s="17"/>
      <c r="F43" s="18"/>
      <c r="G43" s="19"/>
      <c r="H43" s="12"/>
      <c r="I43" s="16"/>
    </row>
    <row r="44" spans="1:9" s="8" customFormat="1" x14ac:dyDescent="0.2">
      <c r="A44" s="10">
        <v>22632</v>
      </c>
      <c r="B44" s="11">
        <v>42829</v>
      </c>
      <c r="C44" s="12">
        <v>10.83</v>
      </c>
      <c r="D44" s="12">
        <v>0.83</v>
      </c>
      <c r="E44" s="17"/>
      <c r="F44" s="20">
        <v>13.04</v>
      </c>
      <c r="G44" s="20">
        <v>10.98</v>
      </c>
      <c r="H44" s="253"/>
      <c r="I44" s="16"/>
    </row>
    <row r="45" spans="1:9" s="8" customFormat="1" x14ac:dyDescent="0.2">
      <c r="A45" s="10">
        <v>22633</v>
      </c>
      <c r="B45" s="11">
        <v>42830</v>
      </c>
      <c r="C45" s="12">
        <v>47.63</v>
      </c>
      <c r="D45" s="12">
        <v>3.63</v>
      </c>
      <c r="E45" s="15" t="s">
        <v>533</v>
      </c>
      <c r="F45" s="21"/>
      <c r="G45" s="22"/>
      <c r="H45" s="10"/>
      <c r="I45" s="16"/>
    </row>
    <row r="46" spans="1:9" s="8" customFormat="1" x14ac:dyDescent="0.2">
      <c r="A46" s="10">
        <v>22634</v>
      </c>
      <c r="B46" s="11">
        <v>42830</v>
      </c>
      <c r="C46" s="12">
        <v>174.82</v>
      </c>
      <c r="D46" s="12">
        <v>13.32</v>
      </c>
      <c r="E46" s="15" t="s">
        <v>533</v>
      </c>
      <c r="F46" s="21"/>
      <c r="G46" s="22"/>
      <c r="H46" s="10"/>
      <c r="I46" s="16"/>
    </row>
    <row r="47" spans="1:9" s="8" customFormat="1" x14ac:dyDescent="0.2">
      <c r="A47" s="10">
        <v>22635</v>
      </c>
      <c r="B47" s="11">
        <v>42830</v>
      </c>
      <c r="C47" s="12">
        <v>421.63</v>
      </c>
      <c r="D47" s="12">
        <v>32.130000000000003</v>
      </c>
      <c r="E47" s="15" t="s">
        <v>7</v>
      </c>
      <c r="I47" s="16"/>
    </row>
    <row r="48" spans="1:9" s="8" customFormat="1" x14ac:dyDescent="0.2">
      <c r="A48" s="10">
        <v>22636</v>
      </c>
      <c r="B48" s="11">
        <v>42830</v>
      </c>
      <c r="C48" s="12">
        <v>163.46</v>
      </c>
      <c r="D48" s="12">
        <v>12.46</v>
      </c>
      <c r="E48" s="17"/>
      <c r="I48" s="16"/>
    </row>
    <row r="49" spans="1:9" s="8" customFormat="1" x14ac:dyDescent="0.2">
      <c r="A49" s="10">
        <v>22637</v>
      </c>
      <c r="B49" s="11">
        <v>42830</v>
      </c>
      <c r="C49" s="12">
        <v>21.65</v>
      </c>
      <c r="D49" s="12">
        <v>1.65</v>
      </c>
      <c r="E49" s="17"/>
      <c r="F49" s="18"/>
      <c r="G49" s="19"/>
      <c r="H49" s="12"/>
      <c r="I49" s="16"/>
    </row>
    <row r="50" spans="1:9" s="8" customFormat="1" x14ac:dyDescent="0.2">
      <c r="A50" s="10">
        <v>22638</v>
      </c>
      <c r="B50" s="11">
        <v>42830</v>
      </c>
      <c r="C50" s="12">
        <v>66.03</v>
      </c>
      <c r="D50" s="12">
        <v>5.03</v>
      </c>
      <c r="E50" s="17"/>
      <c r="I50" s="16"/>
    </row>
    <row r="51" spans="1:9" s="8" customFormat="1" x14ac:dyDescent="0.2">
      <c r="A51" s="10">
        <v>22639</v>
      </c>
      <c r="B51" s="11">
        <v>42830</v>
      </c>
      <c r="C51" s="12">
        <v>117.99</v>
      </c>
      <c r="D51" s="12">
        <v>8.99</v>
      </c>
      <c r="E51" s="17"/>
      <c r="F51" s="18"/>
      <c r="G51" s="19"/>
      <c r="H51" s="12"/>
      <c r="I51" s="16"/>
    </row>
    <row r="52" spans="1:9" s="8" customFormat="1" x14ac:dyDescent="0.2">
      <c r="A52" s="10">
        <v>22640</v>
      </c>
      <c r="B52" s="11">
        <v>42830</v>
      </c>
      <c r="C52" s="12">
        <v>147.80000000000001</v>
      </c>
      <c r="D52" s="12"/>
      <c r="E52" s="15" t="s">
        <v>363</v>
      </c>
      <c r="I52" s="16"/>
    </row>
    <row r="53" spans="1:9" s="8" customFormat="1" x14ac:dyDescent="0.2">
      <c r="A53" s="10">
        <v>22641</v>
      </c>
      <c r="B53" s="11">
        <v>42830</v>
      </c>
      <c r="C53" s="12">
        <v>8.66</v>
      </c>
      <c r="D53" s="12">
        <v>0.66</v>
      </c>
      <c r="E53" s="17"/>
      <c r="F53" s="18"/>
      <c r="G53" s="19"/>
      <c r="H53" s="12"/>
      <c r="I53" s="16"/>
    </row>
    <row r="54" spans="1:9" s="8" customFormat="1" x14ac:dyDescent="0.2">
      <c r="A54" s="10">
        <v>22642</v>
      </c>
      <c r="B54" s="11">
        <v>42830</v>
      </c>
      <c r="C54" s="12">
        <v>171.85</v>
      </c>
      <c r="D54" s="12">
        <v>13.1</v>
      </c>
      <c r="E54" s="15" t="s">
        <v>21</v>
      </c>
      <c r="I54" s="16"/>
    </row>
    <row r="55" spans="1:9" s="8" customFormat="1" x14ac:dyDescent="0.2">
      <c r="A55" s="10">
        <v>22643</v>
      </c>
      <c r="B55" s="11">
        <v>42830</v>
      </c>
      <c r="C55" s="12">
        <v>20</v>
      </c>
      <c r="D55" s="12"/>
      <c r="E55" s="15" t="s">
        <v>7</v>
      </c>
      <c r="I55" s="16"/>
    </row>
    <row r="56" spans="1:9" s="8" customFormat="1" x14ac:dyDescent="0.2">
      <c r="A56" s="10">
        <v>22644</v>
      </c>
      <c r="B56" s="11">
        <v>42830</v>
      </c>
      <c r="C56" s="12">
        <v>126.65</v>
      </c>
      <c r="D56" s="12">
        <v>9.65</v>
      </c>
      <c r="E56" s="17"/>
      <c r="I56" s="16"/>
    </row>
    <row r="57" spans="1:9" s="8" customFormat="1" x14ac:dyDescent="0.2">
      <c r="A57" s="10">
        <v>22645</v>
      </c>
      <c r="B57" s="11">
        <v>42830</v>
      </c>
      <c r="C57" s="12">
        <v>270</v>
      </c>
      <c r="D57" s="12"/>
      <c r="E57" s="15" t="s">
        <v>21</v>
      </c>
      <c r="F57" s="134">
        <f>1+C55+C47</f>
        <v>442.63</v>
      </c>
      <c r="G57" s="123">
        <f>+F57*0.97831</f>
        <v>433.02935530000002</v>
      </c>
      <c r="H57" s="253" t="s">
        <v>984</v>
      </c>
      <c r="I57" s="16"/>
    </row>
    <row r="58" spans="1:9" s="8" customFormat="1" x14ac:dyDescent="0.2">
      <c r="A58" s="10">
        <v>22646</v>
      </c>
      <c r="B58" s="11">
        <v>42831</v>
      </c>
      <c r="C58" s="12">
        <v>164</v>
      </c>
      <c r="D58" s="12">
        <v>12.5</v>
      </c>
      <c r="E58" s="15" t="s">
        <v>11</v>
      </c>
      <c r="I58" s="16"/>
    </row>
    <row r="59" spans="1:9" s="8" customFormat="1" x14ac:dyDescent="0.2">
      <c r="A59" s="10">
        <v>22647</v>
      </c>
      <c r="B59" s="11">
        <v>42831</v>
      </c>
      <c r="C59" s="12">
        <v>29.23</v>
      </c>
      <c r="D59" s="12">
        <v>2.23</v>
      </c>
      <c r="E59" s="15" t="s">
        <v>11</v>
      </c>
      <c r="I59" s="16"/>
    </row>
    <row r="60" spans="1:9" s="8" customFormat="1" x14ac:dyDescent="0.2">
      <c r="A60" s="10">
        <v>22648</v>
      </c>
      <c r="B60" s="11">
        <v>42831</v>
      </c>
      <c r="C60" s="12">
        <v>56.91</v>
      </c>
      <c r="D60" s="12">
        <v>4.34</v>
      </c>
      <c r="E60" s="17"/>
      <c r="F60" s="18"/>
      <c r="G60" s="19"/>
      <c r="H60" s="12"/>
      <c r="I60" s="16"/>
    </row>
    <row r="61" spans="1:9" s="8" customFormat="1" x14ac:dyDescent="0.2">
      <c r="A61" s="10">
        <v>22649</v>
      </c>
      <c r="B61" s="11">
        <v>42831</v>
      </c>
      <c r="C61" s="12">
        <v>22.08</v>
      </c>
      <c r="D61" s="12">
        <v>1.68</v>
      </c>
      <c r="E61" s="15" t="s">
        <v>7</v>
      </c>
      <c r="I61" s="16"/>
    </row>
    <row r="62" spans="1:9" s="8" customFormat="1" x14ac:dyDescent="0.2">
      <c r="A62" s="10">
        <v>22650</v>
      </c>
      <c r="B62" s="11">
        <v>42831</v>
      </c>
      <c r="C62" s="12">
        <v>29.23</v>
      </c>
      <c r="D62" s="12">
        <v>2.23</v>
      </c>
      <c r="E62" s="17"/>
      <c r="F62" s="18"/>
      <c r="G62" s="19"/>
      <c r="H62" s="12"/>
      <c r="I62" s="16"/>
    </row>
    <row r="63" spans="1:9" s="8" customFormat="1" x14ac:dyDescent="0.2">
      <c r="A63" s="10">
        <v>22651</v>
      </c>
      <c r="B63" s="11">
        <v>42831</v>
      </c>
      <c r="C63" s="12">
        <v>248.98</v>
      </c>
      <c r="D63" s="12">
        <v>18.98</v>
      </c>
      <c r="E63" s="15"/>
      <c r="I63" s="16"/>
    </row>
    <row r="64" spans="1:9" s="8" customFormat="1" x14ac:dyDescent="0.2">
      <c r="A64" s="10">
        <v>22652</v>
      </c>
      <c r="B64" s="11">
        <v>42831</v>
      </c>
      <c r="C64" s="12">
        <v>74.69</v>
      </c>
      <c r="D64" s="12">
        <v>5.69</v>
      </c>
      <c r="E64" s="15" t="s">
        <v>11</v>
      </c>
      <c r="I64" s="16"/>
    </row>
    <row r="65" spans="1:9" s="8" customFormat="1" x14ac:dyDescent="0.2">
      <c r="A65" s="10">
        <v>22653</v>
      </c>
      <c r="B65" s="11">
        <v>42831</v>
      </c>
      <c r="C65" s="12">
        <v>21.57</v>
      </c>
      <c r="D65" s="12">
        <v>1.64</v>
      </c>
      <c r="E65" s="17"/>
      <c r="F65" s="18"/>
      <c r="G65" s="19"/>
      <c r="H65" s="12"/>
      <c r="I65" s="16"/>
    </row>
    <row r="66" spans="1:9" s="8" customFormat="1" x14ac:dyDescent="0.2">
      <c r="A66" s="10">
        <v>22654</v>
      </c>
      <c r="B66" s="11">
        <v>42831</v>
      </c>
      <c r="C66" s="12">
        <v>190.78</v>
      </c>
      <c r="D66" s="12">
        <v>14.54</v>
      </c>
      <c r="E66" s="15" t="s">
        <v>11</v>
      </c>
      <c r="F66" s="134">
        <f>+C58+C59+C61+C42+C66+98.3-10+C64</f>
        <v>810.48</v>
      </c>
      <c r="G66" s="123">
        <f>+F66*0.97831</f>
        <v>792.90068880000001</v>
      </c>
      <c r="H66" s="253"/>
      <c r="I66" s="16"/>
    </row>
    <row r="67" spans="1:9" s="8" customFormat="1" x14ac:dyDescent="0.2">
      <c r="A67" s="10">
        <v>22655</v>
      </c>
      <c r="B67" s="11">
        <v>42832</v>
      </c>
      <c r="C67" s="12">
        <v>56.29</v>
      </c>
      <c r="D67" s="12">
        <v>4.29</v>
      </c>
      <c r="E67" s="15" t="s">
        <v>11</v>
      </c>
      <c r="F67" s="21"/>
      <c r="G67" s="22"/>
      <c r="H67" s="10"/>
      <c r="I67" s="16"/>
    </row>
    <row r="68" spans="1:9" s="8" customFormat="1" x14ac:dyDescent="0.2">
      <c r="A68" s="10">
        <v>22656</v>
      </c>
      <c r="B68" s="11">
        <v>42832</v>
      </c>
      <c r="C68" s="12">
        <v>75</v>
      </c>
      <c r="D68" s="12"/>
      <c r="E68" s="15" t="s">
        <v>985</v>
      </c>
      <c r="F68" s="21"/>
      <c r="G68" s="22"/>
      <c r="H68" s="10"/>
      <c r="I68" s="16"/>
    </row>
    <row r="69" spans="1:9" s="8" customFormat="1" x14ac:dyDescent="0.2">
      <c r="A69" s="10">
        <v>22657</v>
      </c>
      <c r="B69" s="11">
        <v>42832</v>
      </c>
      <c r="C69" s="12">
        <v>248.43</v>
      </c>
      <c r="D69" s="12">
        <v>18.93</v>
      </c>
      <c r="E69" s="13" t="s">
        <v>986</v>
      </c>
      <c r="F69" s="18"/>
      <c r="G69" s="19"/>
      <c r="H69" s="12"/>
      <c r="I69" s="16"/>
    </row>
    <row r="70" spans="1:9" s="8" customFormat="1" x14ac:dyDescent="0.2">
      <c r="A70" s="10">
        <v>22658</v>
      </c>
      <c r="B70" s="11">
        <v>42832</v>
      </c>
      <c r="C70" s="12">
        <v>38.75</v>
      </c>
      <c r="D70" s="12">
        <v>2.95</v>
      </c>
      <c r="E70" s="13"/>
      <c r="F70" s="18"/>
      <c r="G70" s="19"/>
      <c r="H70" s="12"/>
      <c r="I70" s="16"/>
    </row>
    <row r="71" spans="1:9" s="8" customFormat="1" x14ac:dyDescent="0.2">
      <c r="A71" s="10">
        <v>22659</v>
      </c>
      <c r="B71" s="11">
        <v>42832</v>
      </c>
      <c r="C71" s="12">
        <v>100</v>
      </c>
      <c r="D71" s="12">
        <v>7.62</v>
      </c>
      <c r="E71" s="13"/>
      <c r="F71" s="18"/>
      <c r="G71" s="19"/>
      <c r="H71" s="12"/>
      <c r="I71" s="16"/>
    </row>
    <row r="72" spans="1:9" s="8" customFormat="1" x14ac:dyDescent="0.2">
      <c r="A72" s="10">
        <v>22660</v>
      </c>
      <c r="B72" s="11">
        <v>42832</v>
      </c>
      <c r="C72" s="12">
        <v>7.58</v>
      </c>
      <c r="D72" s="12">
        <v>0.57999999999999996</v>
      </c>
      <c r="E72" s="15" t="s">
        <v>11</v>
      </c>
      <c r="I72" s="16"/>
    </row>
    <row r="73" spans="1:9" s="8" customFormat="1" x14ac:dyDescent="0.2">
      <c r="A73" s="10">
        <v>22661</v>
      </c>
      <c r="B73" s="11">
        <v>42832</v>
      </c>
      <c r="C73" s="12">
        <v>221.91</v>
      </c>
      <c r="D73" s="12">
        <v>16.91</v>
      </c>
      <c r="E73" s="15" t="s">
        <v>11</v>
      </c>
      <c r="F73" s="21"/>
      <c r="G73" s="22"/>
      <c r="H73" s="10"/>
      <c r="I73" s="16"/>
    </row>
    <row r="74" spans="1:9" s="8" customFormat="1" x14ac:dyDescent="0.2">
      <c r="A74" s="10">
        <v>22662</v>
      </c>
      <c r="B74" s="11">
        <v>42832</v>
      </c>
      <c r="C74" s="12">
        <v>216.5</v>
      </c>
      <c r="D74" s="12">
        <v>16.5</v>
      </c>
      <c r="E74" s="15" t="s">
        <v>987</v>
      </c>
      <c r="F74" s="21"/>
      <c r="G74" s="22"/>
      <c r="H74" s="10"/>
      <c r="I74" s="16"/>
    </row>
    <row r="75" spans="1:9" s="8" customFormat="1" x14ac:dyDescent="0.2">
      <c r="A75" s="10">
        <v>22663</v>
      </c>
      <c r="B75" s="11">
        <v>42832</v>
      </c>
      <c r="C75" s="12">
        <v>8</v>
      </c>
      <c r="D75" s="12"/>
      <c r="E75" s="15" t="s">
        <v>21</v>
      </c>
      <c r="I75" s="16"/>
    </row>
    <row r="76" spans="1:9" s="8" customFormat="1" x14ac:dyDescent="0.2">
      <c r="A76" s="10">
        <v>22664</v>
      </c>
      <c r="B76" s="11">
        <v>42832</v>
      </c>
      <c r="C76" s="12">
        <v>100</v>
      </c>
      <c r="D76" s="12">
        <v>7.62</v>
      </c>
      <c r="E76" s="17"/>
      <c r="I76" s="16"/>
    </row>
    <row r="77" spans="1:9" s="8" customFormat="1" x14ac:dyDescent="0.2">
      <c r="A77" s="10">
        <v>22665</v>
      </c>
      <c r="B77" s="11">
        <v>42832</v>
      </c>
      <c r="C77" s="12">
        <v>120</v>
      </c>
      <c r="D77" s="12"/>
      <c r="E77" s="13" t="s">
        <v>8</v>
      </c>
      <c r="I77" s="16"/>
    </row>
    <row r="78" spans="1:9" s="8" customFormat="1" x14ac:dyDescent="0.2">
      <c r="A78" s="10">
        <v>22666</v>
      </c>
      <c r="B78" s="11">
        <v>42832</v>
      </c>
      <c r="C78" s="12">
        <v>225</v>
      </c>
      <c r="D78" s="12">
        <v>17.149999999999999</v>
      </c>
      <c r="E78" s="15" t="s">
        <v>11</v>
      </c>
      <c r="F78" s="21"/>
      <c r="G78" s="22"/>
      <c r="H78" s="10"/>
      <c r="I78" s="16"/>
    </row>
    <row r="79" spans="1:9" s="8" customFormat="1" x14ac:dyDescent="0.2">
      <c r="A79" s="10">
        <v>22667</v>
      </c>
      <c r="B79" s="11">
        <v>42832</v>
      </c>
      <c r="C79" s="12">
        <v>7.5</v>
      </c>
      <c r="D79" s="12"/>
      <c r="E79" s="13" t="s">
        <v>8</v>
      </c>
      <c r="F79" s="134">
        <f>+C67+C68+C72+2.71+C73+50+40+C78</f>
        <v>678.49</v>
      </c>
      <c r="G79" s="123">
        <f>+F79*0.97831</f>
        <v>663.77355190000003</v>
      </c>
      <c r="H79" s="253"/>
      <c r="I79" s="16"/>
    </row>
    <row r="80" spans="1:9" s="8" customFormat="1" x14ac:dyDescent="0.2">
      <c r="A80" s="10">
        <v>22668</v>
      </c>
      <c r="B80" s="11">
        <v>42833</v>
      </c>
      <c r="C80" s="12">
        <v>30</v>
      </c>
      <c r="D80" s="12">
        <v>2.29</v>
      </c>
      <c r="E80" s="17"/>
      <c r="F80" s="18"/>
      <c r="G80" s="19"/>
      <c r="H80" s="12"/>
      <c r="I80" s="16"/>
    </row>
    <row r="81" spans="1:9" s="8" customFormat="1" x14ac:dyDescent="0.2">
      <c r="A81" s="10">
        <v>22669</v>
      </c>
      <c r="B81" s="11">
        <v>42833</v>
      </c>
      <c r="C81" s="12">
        <v>7.5200000000000005</v>
      </c>
      <c r="D81" s="12">
        <v>0.56999999999999995</v>
      </c>
      <c r="E81" s="17"/>
      <c r="I81" s="16"/>
    </row>
    <row r="82" spans="1:9" s="8" customFormat="1" x14ac:dyDescent="0.2">
      <c r="A82" s="10">
        <v>22670</v>
      </c>
      <c r="B82" s="11">
        <v>42833</v>
      </c>
      <c r="C82" s="12">
        <v>67.12</v>
      </c>
      <c r="D82" s="12">
        <v>5.12</v>
      </c>
      <c r="E82" s="17"/>
      <c r="I82" s="16"/>
    </row>
    <row r="83" spans="1:9" s="8" customFormat="1" x14ac:dyDescent="0.2">
      <c r="A83" s="10">
        <v>22671</v>
      </c>
      <c r="B83" s="11">
        <v>42833</v>
      </c>
      <c r="C83" s="12">
        <v>20.57</v>
      </c>
      <c r="D83" s="12">
        <v>1.57</v>
      </c>
      <c r="E83" s="17"/>
      <c r="F83" s="18"/>
      <c r="G83" s="19"/>
      <c r="H83" s="12"/>
      <c r="I83" s="16"/>
    </row>
    <row r="84" spans="1:9" s="8" customFormat="1" x14ac:dyDescent="0.2">
      <c r="A84" s="10">
        <v>22672</v>
      </c>
      <c r="B84" s="11">
        <v>42833</v>
      </c>
      <c r="C84" s="12">
        <v>44.38</v>
      </c>
      <c r="D84" s="12">
        <v>3.38</v>
      </c>
      <c r="E84" s="15" t="s">
        <v>21</v>
      </c>
      <c r="I84" s="16"/>
    </row>
    <row r="85" spans="1:9" s="8" customFormat="1" x14ac:dyDescent="0.2">
      <c r="A85" s="10">
        <v>22673</v>
      </c>
      <c r="B85" s="11">
        <v>42833</v>
      </c>
      <c r="C85" s="12">
        <v>1</v>
      </c>
      <c r="D85" s="12">
        <v>0.08</v>
      </c>
      <c r="E85" s="17"/>
      <c r="F85" s="18"/>
      <c r="G85" s="19"/>
      <c r="H85" s="12"/>
      <c r="I85" s="16"/>
    </row>
    <row r="86" spans="1:9" s="8" customFormat="1" x14ac:dyDescent="0.2">
      <c r="A86" s="10">
        <v>22674</v>
      </c>
      <c r="B86" s="11">
        <v>42833</v>
      </c>
      <c r="C86" s="12">
        <v>19</v>
      </c>
      <c r="D86" s="12">
        <v>1.45</v>
      </c>
      <c r="E86" s="15" t="s">
        <v>21</v>
      </c>
      <c r="F86" s="21"/>
      <c r="G86" s="22"/>
      <c r="H86" s="10"/>
      <c r="I86" s="16"/>
    </row>
    <row r="87" spans="1:9" s="8" customFormat="1" x14ac:dyDescent="0.2">
      <c r="A87" s="10">
        <v>22675</v>
      </c>
      <c r="B87" s="11">
        <v>42833</v>
      </c>
      <c r="C87" s="12">
        <v>178.61</v>
      </c>
      <c r="D87" s="12">
        <v>13.61</v>
      </c>
      <c r="E87" s="13"/>
      <c r="F87" s="18"/>
      <c r="G87" s="19"/>
      <c r="H87" s="12"/>
      <c r="I87" s="16"/>
    </row>
    <row r="88" spans="1:9" s="8" customFormat="1" x14ac:dyDescent="0.2">
      <c r="A88" s="10">
        <v>22676</v>
      </c>
      <c r="B88" s="11">
        <v>42833</v>
      </c>
      <c r="C88" s="12">
        <v>150</v>
      </c>
      <c r="D88" s="12">
        <v>11.43</v>
      </c>
      <c r="E88" s="13"/>
      <c r="F88" s="18"/>
      <c r="G88" s="19"/>
      <c r="H88" s="12"/>
      <c r="I88" s="16"/>
    </row>
    <row r="89" spans="1:9" s="8" customFormat="1" x14ac:dyDescent="0.2">
      <c r="A89" s="10">
        <v>22677</v>
      </c>
      <c r="B89" s="11">
        <v>42833</v>
      </c>
      <c r="C89" s="185">
        <v>128</v>
      </c>
      <c r="D89" s="12">
        <v>9.75</v>
      </c>
      <c r="E89" s="15" t="s">
        <v>533</v>
      </c>
      <c r="F89" s="21"/>
      <c r="G89" s="22"/>
      <c r="H89" s="10"/>
      <c r="I89" s="16"/>
    </row>
    <row r="90" spans="1:9" s="8" customFormat="1" x14ac:dyDescent="0.2">
      <c r="A90" s="10">
        <v>22678</v>
      </c>
      <c r="B90" s="11">
        <v>42833</v>
      </c>
      <c r="C90" s="185">
        <v>97.43</v>
      </c>
      <c r="D90" s="12">
        <v>7.43</v>
      </c>
      <c r="E90" s="15" t="s">
        <v>533</v>
      </c>
      <c r="F90" s="21"/>
      <c r="G90" s="22"/>
      <c r="H90" s="10"/>
      <c r="I90" s="16"/>
    </row>
    <row r="91" spans="1:9" s="8" customFormat="1" x14ac:dyDescent="0.2">
      <c r="A91" s="10">
        <v>22679</v>
      </c>
      <c r="B91" s="11">
        <v>42833</v>
      </c>
      <c r="C91" s="12">
        <v>205.68</v>
      </c>
      <c r="D91" s="12">
        <v>15.68</v>
      </c>
      <c r="E91" s="15" t="s">
        <v>988</v>
      </c>
      <c r="F91" s="202">
        <v>212</v>
      </c>
      <c r="G91" s="22"/>
      <c r="H91" s="10"/>
      <c r="I91" s="16"/>
    </row>
    <row r="92" spans="1:9" s="8" customFormat="1" x14ac:dyDescent="0.2">
      <c r="A92" s="10">
        <v>22680</v>
      </c>
      <c r="B92" s="11">
        <v>42833</v>
      </c>
      <c r="C92" s="12">
        <v>18</v>
      </c>
      <c r="D92" s="12">
        <v>1.37</v>
      </c>
      <c r="E92" s="15" t="s">
        <v>11</v>
      </c>
      <c r="F92" s="134">
        <f>175+C92</f>
        <v>193</v>
      </c>
      <c r="G92" s="123">
        <f>+F92*0.97831</f>
        <v>188.81383</v>
      </c>
      <c r="H92" s="253" t="s">
        <v>989</v>
      </c>
      <c r="I92" s="16"/>
    </row>
    <row r="93" spans="1:9" s="8" customFormat="1" x14ac:dyDescent="0.2">
      <c r="A93" s="10">
        <v>22681</v>
      </c>
      <c r="B93" s="11">
        <v>42835</v>
      </c>
      <c r="C93" s="12">
        <v>29.169999999999998</v>
      </c>
      <c r="D93" s="12">
        <v>2.2200000000000002</v>
      </c>
      <c r="E93" s="15" t="s">
        <v>11</v>
      </c>
      <c r="I93" s="16"/>
    </row>
    <row r="94" spans="1:9" s="8" customFormat="1" x14ac:dyDescent="0.2">
      <c r="A94" s="10">
        <v>22682</v>
      </c>
      <c r="B94" s="11">
        <v>42835</v>
      </c>
      <c r="C94" s="12">
        <v>14.02</v>
      </c>
      <c r="D94" s="12">
        <v>1.07</v>
      </c>
      <c r="E94" s="15" t="s">
        <v>11</v>
      </c>
      <c r="F94" s="21"/>
      <c r="G94" s="22"/>
      <c r="H94" s="10"/>
      <c r="I94" s="16"/>
    </row>
    <row r="95" spans="1:9" s="8" customFormat="1" x14ac:dyDescent="0.2">
      <c r="A95" s="10">
        <v>22683</v>
      </c>
      <c r="B95" s="11">
        <v>42835</v>
      </c>
      <c r="C95" s="12">
        <v>10.83</v>
      </c>
      <c r="D95" s="12">
        <v>0.83</v>
      </c>
      <c r="E95" s="15" t="s">
        <v>11</v>
      </c>
      <c r="I95" s="16"/>
    </row>
    <row r="96" spans="1:9" s="8" customFormat="1" x14ac:dyDescent="0.2">
      <c r="A96" s="10">
        <v>22684</v>
      </c>
      <c r="B96" s="11">
        <v>42835</v>
      </c>
      <c r="C96" s="12">
        <v>12.99</v>
      </c>
      <c r="D96" s="12">
        <v>0.99</v>
      </c>
      <c r="E96" s="17"/>
      <c r="I96" s="16"/>
    </row>
    <row r="97" spans="1:9" s="8" customFormat="1" x14ac:dyDescent="0.2">
      <c r="A97" s="10">
        <v>22685</v>
      </c>
      <c r="B97" s="11">
        <v>42835</v>
      </c>
      <c r="C97" s="12">
        <v>31.39</v>
      </c>
      <c r="D97" s="12">
        <v>2.39</v>
      </c>
      <c r="E97" s="15" t="s">
        <v>11</v>
      </c>
      <c r="F97" s="21"/>
      <c r="G97" s="22"/>
      <c r="H97" s="10"/>
      <c r="I97" s="16"/>
    </row>
    <row r="98" spans="1:9" s="8" customFormat="1" x14ac:dyDescent="0.2">
      <c r="A98" s="10">
        <v>22686</v>
      </c>
      <c r="B98" s="11">
        <v>42835</v>
      </c>
      <c r="C98" s="12">
        <v>74.69</v>
      </c>
      <c r="D98" s="12">
        <v>5.69</v>
      </c>
      <c r="E98" s="15" t="s">
        <v>11</v>
      </c>
      <c r="I98" s="16"/>
    </row>
    <row r="99" spans="1:9" s="8" customFormat="1" x14ac:dyDescent="0.2">
      <c r="A99" s="10">
        <v>22687</v>
      </c>
      <c r="B99" s="11">
        <v>42835</v>
      </c>
      <c r="C99" s="12">
        <v>163.72999999999999</v>
      </c>
      <c r="D99" s="12">
        <v>12.48</v>
      </c>
      <c r="E99" s="15" t="s">
        <v>21</v>
      </c>
      <c r="F99" s="21"/>
      <c r="G99" s="22"/>
      <c r="H99" s="10"/>
      <c r="I99" s="16"/>
    </row>
    <row r="100" spans="1:9" s="8" customFormat="1" x14ac:dyDescent="0.2">
      <c r="A100" s="10">
        <v>22688</v>
      </c>
      <c r="B100" s="11">
        <v>42835</v>
      </c>
      <c r="C100" s="12">
        <v>94.75</v>
      </c>
      <c r="D100" s="12"/>
      <c r="E100" s="15" t="s">
        <v>363</v>
      </c>
      <c r="F100" s="134">
        <f>+C93+C94+C95+C97+C98</f>
        <v>160.1</v>
      </c>
      <c r="G100" s="123">
        <f>+F100*0.97831</f>
        <v>156.627431</v>
      </c>
      <c r="H100" s="253"/>
      <c r="I100" s="16"/>
    </row>
    <row r="101" spans="1:9" s="8" customFormat="1" x14ac:dyDescent="0.2">
      <c r="A101" s="10">
        <v>22689</v>
      </c>
      <c r="B101" s="11">
        <v>42836</v>
      </c>
      <c r="C101" s="12">
        <v>10.83</v>
      </c>
      <c r="D101" s="12">
        <v>0.83</v>
      </c>
      <c r="E101" s="17"/>
      <c r="F101" s="18"/>
      <c r="G101" s="19"/>
      <c r="H101" s="12"/>
      <c r="I101" s="16"/>
    </row>
    <row r="102" spans="1:9" s="8" customFormat="1" x14ac:dyDescent="0.2">
      <c r="A102" s="10">
        <v>22690</v>
      </c>
      <c r="B102" s="11">
        <v>42836</v>
      </c>
      <c r="C102" s="12">
        <v>87.68</v>
      </c>
      <c r="D102" s="12">
        <v>6.68</v>
      </c>
      <c r="E102" s="15" t="s">
        <v>533</v>
      </c>
      <c r="F102" s="21"/>
      <c r="G102" s="22"/>
      <c r="H102" s="10"/>
      <c r="I102" s="16"/>
    </row>
    <row r="103" spans="1:9" s="8" customFormat="1" x14ac:dyDescent="0.2">
      <c r="A103" s="10">
        <v>22691</v>
      </c>
      <c r="B103" s="11">
        <v>42836</v>
      </c>
      <c r="C103" s="12">
        <v>84.44</v>
      </c>
      <c r="D103" s="12">
        <v>6.44</v>
      </c>
      <c r="E103" s="15" t="s">
        <v>533</v>
      </c>
      <c r="I103" s="16"/>
    </row>
    <row r="104" spans="1:9" s="8" customFormat="1" x14ac:dyDescent="0.2">
      <c r="A104" s="10">
        <v>22692</v>
      </c>
      <c r="B104" s="11">
        <v>42836</v>
      </c>
      <c r="C104" s="12">
        <v>15.16</v>
      </c>
      <c r="D104" s="12">
        <v>1.1599999999999999</v>
      </c>
      <c r="E104" s="15" t="s">
        <v>533</v>
      </c>
      <c r="F104" s="21"/>
      <c r="G104" s="22"/>
      <c r="H104" s="10"/>
      <c r="I104" s="16"/>
    </row>
    <row r="105" spans="1:9" s="8" customFormat="1" x14ac:dyDescent="0.2">
      <c r="A105" s="10">
        <v>22693</v>
      </c>
      <c r="B105" s="11">
        <v>42836</v>
      </c>
      <c r="C105" s="12">
        <v>80.11</v>
      </c>
      <c r="D105" s="12">
        <v>6.11</v>
      </c>
      <c r="E105" s="15" t="s">
        <v>21</v>
      </c>
      <c r="F105" s="21"/>
      <c r="G105" s="22"/>
      <c r="H105" s="10"/>
      <c r="I105" s="16"/>
    </row>
    <row r="106" spans="1:9" s="8" customFormat="1" x14ac:dyDescent="0.2">
      <c r="A106" s="10">
        <v>22694</v>
      </c>
      <c r="B106" s="11">
        <v>42836</v>
      </c>
      <c r="C106" s="12">
        <v>43.7</v>
      </c>
      <c r="D106" s="12"/>
      <c r="E106" s="15" t="s">
        <v>363</v>
      </c>
      <c r="I106" s="16"/>
    </row>
    <row r="107" spans="1:9" s="8" customFormat="1" x14ac:dyDescent="0.2">
      <c r="A107" s="10">
        <v>22695</v>
      </c>
      <c r="B107" s="11">
        <v>42836</v>
      </c>
      <c r="C107" s="12">
        <v>46.55</v>
      </c>
      <c r="D107" s="12">
        <v>3.55</v>
      </c>
      <c r="E107" s="17"/>
      <c r="F107" s="18"/>
      <c r="G107" s="19"/>
      <c r="H107" s="12"/>
      <c r="I107" s="16"/>
    </row>
    <row r="108" spans="1:9" s="8" customFormat="1" x14ac:dyDescent="0.2">
      <c r="A108" s="10">
        <v>22696</v>
      </c>
      <c r="B108" s="11">
        <v>42836</v>
      </c>
      <c r="C108" s="12">
        <v>27.06</v>
      </c>
      <c r="D108" s="12">
        <v>2.06</v>
      </c>
      <c r="E108" s="17"/>
      <c r="F108" s="18"/>
      <c r="G108" s="19"/>
      <c r="H108" s="12"/>
      <c r="I108" s="16"/>
    </row>
    <row r="109" spans="1:9" s="8" customFormat="1" x14ac:dyDescent="0.2">
      <c r="A109" s="10">
        <v>22697</v>
      </c>
      <c r="B109" s="11">
        <v>42836</v>
      </c>
      <c r="C109" s="12">
        <v>8</v>
      </c>
      <c r="D109" s="12">
        <v>0.61</v>
      </c>
      <c r="E109" s="15" t="s">
        <v>533</v>
      </c>
      <c r="I109" s="16"/>
    </row>
    <row r="110" spans="1:9" s="8" customFormat="1" x14ac:dyDescent="0.2">
      <c r="A110" s="10">
        <v>22698</v>
      </c>
      <c r="B110" s="11">
        <v>42836</v>
      </c>
      <c r="C110" s="12">
        <v>11.49615</v>
      </c>
      <c r="D110" s="12">
        <v>0.87614999999999998</v>
      </c>
      <c r="E110" s="17"/>
      <c r="F110" s="18"/>
      <c r="G110" s="19"/>
      <c r="H110" s="12"/>
      <c r="I110" s="16"/>
    </row>
    <row r="111" spans="1:9" s="8" customFormat="1" x14ac:dyDescent="0.2">
      <c r="A111" s="10">
        <v>22699</v>
      </c>
      <c r="B111" s="11">
        <v>42836</v>
      </c>
      <c r="C111" s="12">
        <v>20</v>
      </c>
      <c r="D111" s="12">
        <v>1.52</v>
      </c>
      <c r="E111" s="17"/>
      <c r="I111" s="16"/>
    </row>
    <row r="112" spans="1:9" s="8" customFormat="1" x14ac:dyDescent="0.2">
      <c r="A112" s="10">
        <v>22700</v>
      </c>
      <c r="B112" s="11">
        <v>42836</v>
      </c>
      <c r="C112" s="12">
        <v>390.78</v>
      </c>
      <c r="D112" s="12">
        <v>29.78</v>
      </c>
      <c r="E112" s="15" t="s">
        <v>990</v>
      </c>
      <c r="I112" s="16"/>
    </row>
    <row r="113" spans="1:9" s="8" customFormat="1" x14ac:dyDescent="0.2">
      <c r="A113" s="10">
        <v>22701</v>
      </c>
      <c r="B113" s="11">
        <v>42836</v>
      </c>
      <c r="C113" s="12">
        <v>11.91</v>
      </c>
      <c r="D113" s="12">
        <v>0.91</v>
      </c>
      <c r="E113" s="17"/>
      <c r="I113" s="16"/>
    </row>
    <row r="114" spans="1:9" s="8" customFormat="1" x14ac:dyDescent="0.2">
      <c r="A114" s="10">
        <v>22702</v>
      </c>
      <c r="B114" s="11">
        <v>42836</v>
      </c>
      <c r="C114" s="12">
        <v>29.23</v>
      </c>
      <c r="D114" s="12">
        <v>2.23</v>
      </c>
      <c r="E114" s="15" t="s">
        <v>533</v>
      </c>
      <c r="I114" s="16"/>
    </row>
    <row r="115" spans="1:9" s="8" customFormat="1" x14ac:dyDescent="0.2">
      <c r="A115" s="10">
        <v>22703</v>
      </c>
      <c r="B115" s="11">
        <v>42836</v>
      </c>
      <c r="C115" s="12">
        <v>256</v>
      </c>
      <c r="D115" s="12">
        <v>19.510000000000002</v>
      </c>
      <c r="E115" s="15" t="s">
        <v>991</v>
      </c>
      <c r="F115" s="20">
        <v>0</v>
      </c>
      <c r="G115" s="20">
        <f>+F115*0.97831</f>
        <v>0</v>
      </c>
      <c r="H115" s="253" t="s">
        <v>992</v>
      </c>
      <c r="I115" s="16"/>
    </row>
    <row r="116" spans="1:9" s="8" customFormat="1" x14ac:dyDescent="0.2">
      <c r="A116" s="10">
        <v>22704</v>
      </c>
      <c r="B116" s="11">
        <v>42837</v>
      </c>
      <c r="C116" s="12">
        <v>253.85</v>
      </c>
      <c r="D116" s="12">
        <v>19.350000000000001</v>
      </c>
      <c r="E116" s="13" t="s">
        <v>993</v>
      </c>
      <c r="F116" s="18"/>
      <c r="G116" s="19"/>
      <c r="H116" s="12"/>
      <c r="I116" s="16"/>
    </row>
    <row r="117" spans="1:9" s="8" customFormat="1" x14ac:dyDescent="0.2">
      <c r="A117" s="10">
        <v>22705</v>
      </c>
      <c r="B117" s="11">
        <v>42837</v>
      </c>
      <c r="C117" s="12">
        <v>48.71</v>
      </c>
      <c r="D117" s="12">
        <v>3.71</v>
      </c>
      <c r="E117" s="15" t="s">
        <v>533</v>
      </c>
      <c r="F117" s="21"/>
      <c r="G117" s="22"/>
      <c r="H117" s="10"/>
      <c r="I117" s="16"/>
    </row>
    <row r="118" spans="1:9" s="8" customFormat="1" x14ac:dyDescent="0.2">
      <c r="A118" s="10">
        <v>22706</v>
      </c>
      <c r="B118" s="11">
        <v>42837</v>
      </c>
      <c r="C118" s="12">
        <v>12.5</v>
      </c>
      <c r="D118" s="12"/>
      <c r="E118" s="15" t="s">
        <v>994</v>
      </c>
      <c r="I118" s="16"/>
    </row>
    <row r="119" spans="1:9" s="8" customFormat="1" x14ac:dyDescent="0.2">
      <c r="A119" s="10">
        <v>22707</v>
      </c>
      <c r="B119" s="11">
        <v>42837</v>
      </c>
      <c r="C119" s="12">
        <v>54.13</v>
      </c>
      <c r="D119" s="12">
        <v>4.13</v>
      </c>
      <c r="E119" s="15" t="s">
        <v>533</v>
      </c>
      <c r="F119" s="21"/>
      <c r="G119" s="22"/>
      <c r="H119" s="10"/>
      <c r="I119" s="16"/>
    </row>
    <row r="120" spans="1:9" s="8" customFormat="1" x14ac:dyDescent="0.2">
      <c r="A120" s="10">
        <v>22708</v>
      </c>
      <c r="B120" s="11">
        <v>42837</v>
      </c>
      <c r="C120" s="12">
        <v>197</v>
      </c>
      <c r="D120" s="12"/>
      <c r="E120" s="17"/>
      <c r="F120" s="18"/>
      <c r="G120" s="19"/>
      <c r="H120" s="12"/>
      <c r="I120" s="16"/>
    </row>
    <row r="121" spans="1:9" s="8" customFormat="1" x14ac:dyDescent="0.2">
      <c r="A121" s="10">
        <v>22709</v>
      </c>
      <c r="B121" s="11">
        <v>42837</v>
      </c>
      <c r="C121" s="12">
        <v>8.39</v>
      </c>
      <c r="D121" s="12">
        <v>0.64</v>
      </c>
      <c r="E121" s="17"/>
      <c r="F121" s="18"/>
      <c r="G121" s="19"/>
      <c r="H121" s="12"/>
      <c r="I121" s="16"/>
    </row>
    <row r="122" spans="1:9" s="8" customFormat="1" x14ac:dyDescent="0.2">
      <c r="A122" s="10">
        <v>22710</v>
      </c>
      <c r="B122" s="11">
        <v>42837</v>
      </c>
      <c r="C122" s="12">
        <v>27.8</v>
      </c>
      <c r="D122" s="12">
        <v>2.12</v>
      </c>
      <c r="E122" s="17"/>
      <c r="I122" s="16"/>
    </row>
    <row r="123" spans="1:9" s="8" customFormat="1" x14ac:dyDescent="0.2">
      <c r="A123" s="10">
        <v>22711</v>
      </c>
      <c r="B123" s="11">
        <v>42837</v>
      </c>
      <c r="C123" s="12">
        <v>158</v>
      </c>
      <c r="D123" s="12">
        <v>12.04</v>
      </c>
      <c r="E123" s="17"/>
      <c r="I123" s="16"/>
    </row>
    <row r="124" spans="1:9" s="8" customFormat="1" x14ac:dyDescent="0.2">
      <c r="A124" s="10">
        <v>22712</v>
      </c>
      <c r="B124" s="11">
        <v>42837</v>
      </c>
      <c r="C124" s="12">
        <v>64.350000000000009</v>
      </c>
      <c r="D124" s="12">
        <v>4.9000000000000004</v>
      </c>
      <c r="E124" s="15" t="s">
        <v>11</v>
      </c>
      <c r="I124" s="16"/>
    </row>
    <row r="125" spans="1:9" s="8" customFormat="1" x14ac:dyDescent="0.2">
      <c r="A125" s="10">
        <v>22713</v>
      </c>
      <c r="B125" s="11">
        <v>42837</v>
      </c>
      <c r="C125" s="12">
        <v>459</v>
      </c>
      <c r="D125" s="12"/>
      <c r="E125" s="15" t="s">
        <v>10</v>
      </c>
      <c r="F125" s="21"/>
      <c r="G125" s="22"/>
      <c r="H125" s="10"/>
      <c r="I125" s="16"/>
    </row>
    <row r="126" spans="1:9" s="8" customFormat="1" x14ac:dyDescent="0.2">
      <c r="A126" s="10">
        <v>22714</v>
      </c>
      <c r="B126" s="11">
        <v>42837</v>
      </c>
      <c r="C126" s="12">
        <v>9.74</v>
      </c>
      <c r="D126" s="12">
        <v>0.74</v>
      </c>
      <c r="E126" s="17"/>
      <c r="I126" s="16"/>
    </row>
    <row r="127" spans="1:9" s="8" customFormat="1" x14ac:dyDescent="0.2">
      <c r="A127" s="10">
        <v>22715</v>
      </c>
      <c r="B127" s="11">
        <v>42837</v>
      </c>
      <c r="C127" s="12">
        <v>567.23</v>
      </c>
      <c r="D127" s="12">
        <v>43.23</v>
      </c>
      <c r="E127" s="15"/>
      <c r="I127" s="16"/>
    </row>
    <row r="128" spans="1:9" s="8" customFormat="1" x14ac:dyDescent="0.2">
      <c r="A128" s="10">
        <v>22716</v>
      </c>
      <c r="B128" s="11">
        <v>42837</v>
      </c>
      <c r="C128" s="12">
        <v>375</v>
      </c>
      <c r="D128" s="12">
        <v>28.56</v>
      </c>
      <c r="E128" s="15"/>
      <c r="F128" s="134">
        <f>+C124</f>
        <v>64.350000000000009</v>
      </c>
      <c r="G128" s="123">
        <f>+F128*0.97831</f>
        <v>62.954248500000013</v>
      </c>
      <c r="H128" s="253" t="s">
        <v>995</v>
      </c>
      <c r="I128" s="16"/>
    </row>
    <row r="129" spans="1:9" s="8" customFormat="1" x14ac:dyDescent="0.2">
      <c r="A129" s="10">
        <v>22717</v>
      </c>
      <c r="B129" s="11">
        <v>42838</v>
      </c>
      <c r="C129" s="12">
        <v>-189.49</v>
      </c>
      <c r="D129" s="12">
        <v>-14.44</v>
      </c>
      <c r="E129" s="15" t="s">
        <v>7</v>
      </c>
      <c r="F129" s="21"/>
      <c r="G129" s="22"/>
      <c r="H129" s="10"/>
      <c r="I129" s="16"/>
    </row>
    <row r="130" spans="1:9" s="8" customFormat="1" x14ac:dyDescent="0.2">
      <c r="A130" s="10">
        <v>22718</v>
      </c>
      <c r="B130" s="11">
        <v>42838</v>
      </c>
      <c r="C130" s="12">
        <v>25</v>
      </c>
      <c r="D130" s="12"/>
      <c r="E130" s="15" t="s">
        <v>11</v>
      </c>
      <c r="F130" s="21"/>
      <c r="G130" s="22"/>
      <c r="H130" s="10"/>
      <c r="I130" s="16"/>
    </row>
    <row r="131" spans="1:9" s="8" customFormat="1" x14ac:dyDescent="0.2">
      <c r="A131" s="10">
        <v>22719</v>
      </c>
      <c r="B131" s="11">
        <v>42838</v>
      </c>
      <c r="C131" s="12">
        <v>124.49</v>
      </c>
      <c r="D131" s="12">
        <v>9.49</v>
      </c>
      <c r="E131" s="15"/>
      <c r="F131" s="21"/>
      <c r="G131" s="22"/>
      <c r="H131" s="10"/>
      <c r="I131" s="16"/>
    </row>
    <row r="132" spans="1:9" s="8" customFormat="1" x14ac:dyDescent="0.2">
      <c r="A132" s="10">
        <v>22720</v>
      </c>
      <c r="B132" s="11">
        <v>42838</v>
      </c>
      <c r="C132" s="12">
        <v>185</v>
      </c>
      <c r="D132" s="12">
        <v>14.1</v>
      </c>
      <c r="E132" s="15" t="s">
        <v>11</v>
      </c>
      <c r="I132" s="16"/>
    </row>
    <row r="133" spans="1:9" s="8" customFormat="1" x14ac:dyDescent="0.2">
      <c r="A133" s="10">
        <v>22721</v>
      </c>
      <c r="B133" s="11">
        <v>42838</v>
      </c>
      <c r="C133" s="12">
        <v>27</v>
      </c>
      <c r="D133" s="12">
        <v>2.06</v>
      </c>
      <c r="E133" s="17"/>
      <c r="I133" s="16"/>
    </row>
    <row r="134" spans="1:9" s="8" customFormat="1" x14ac:dyDescent="0.2">
      <c r="A134" s="10">
        <v>22722</v>
      </c>
      <c r="B134" s="11">
        <v>42838</v>
      </c>
      <c r="C134" s="12">
        <v>113.92</v>
      </c>
      <c r="D134" s="12">
        <v>7.92</v>
      </c>
      <c r="E134" s="15" t="s">
        <v>11</v>
      </c>
      <c r="F134" s="21"/>
      <c r="G134" s="22"/>
      <c r="H134" s="10"/>
      <c r="I134" s="16"/>
    </row>
    <row r="135" spans="1:9" s="8" customFormat="1" x14ac:dyDescent="0.2">
      <c r="A135" s="10">
        <v>22723</v>
      </c>
      <c r="B135" s="11">
        <v>42838</v>
      </c>
      <c r="C135" s="12">
        <v>47.63</v>
      </c>
      <c r="D135" s="12">
        <v>3.63</v>
      </c>
      <c r="E135" s="17"/>
      <c r="I135" s="16"/>
    </row>
    <row r="136" spans="1:9" s="8" customFormat="1" x14ac:dyDescent="0.2">
      <c r="A136" s="10">
        <v>22724</v>
      </c>
      <c r="B136" s="11">
        <v>42838</v>
      </c>
      <c r="C136" s="12">
        <v>255.47</v>
      </c>
      <c r="D136" s="12">
        <v>19.47</v>
      </c>
      <c r="E136" s="15" t="s">
        <v>533</v>
      </c>
      <c r="I136" s="16"/>
    </row>
    <row r="137" spans="1:9" s="8" customFormat="1" x14ac:dyDescent="0.2">
      <c r="A137" s="10">
        <v>22725</v>
      </c>
      <c r="B137" s="11">
        <v>42838</v>
      </c>
      <c r="C137" s="12">
        <v>174.39</v>
      </c>
      <c r="D137" s="12">
        <v>13.29</v>
      </c>
      <c r="E137" s="15" t="s">
        <v>21</v>
      </c>
      <c r="F137" s="21"/>
      <c r="G137" s="22"/>
      <c r="H137" s="10"/>
      <c r="I137" s="16"/>
    </row>
    <row r="138" spans="1:9" s="8" customFormat="1" x14ac:dyDescent="0.2">
      <c r="A138" s="10">
        <v>22726</v>
      </c>
      <c r="B138" s="11">
        <v>42838</v>
      </c>
      <c r="C138" s="12">
        <v>135.31</v>
      </c>
      <c r="D138" s="12">
        <v>10.31</v>
      </c>
      <c r="E138" s="15" t="s">
        <v>533</v>
      </c>
      <c r="F138" s="21"/>
      <c r="G138" s="22"/>
      <c r="H138" s="10"/>
      <c r="I138" s="16"/>
    </row>
    <row r="139" spans="1:9" s="8" customFormat="1" x14ac:dyDescent="0.2">
      <c r="A139" s="10">
        <v>22727</v>
      </c>
      <c r="B139" s="11">
        <v>42838</v>
      </c>
      <c r="C139" s="12">
        <v>87.95</v>
      </c>
      <c r="D139" s="12">
        <v>6.7</v>
      </c>
      <c r="E139" s="15" t="s">
        <v>11</v>
      </c>
      <c r="I139" s="16"/>
    </row>
    <row r="140" spans="1:9" s="8" customFormat="1" x14ac:dyDescent="0.2">
      <c r="A140" s="10">
        <v>22728</v>
      </c>
      <c r="B140" s="11">
        <v>42838</v>
      </c>
      <c r="C140" s="12">
        <v>42.22</v>
      </c>
      <c r="D140" s="12">
        <v>3.22</v>
      </c>
      <c r="E140" s="17"/>
      <c r="F140" s="18"/>
      <c r="G140" s="19"/>
      <c r="H140" s="12"/>
      <c r="I140" s="16"/>
    </row>
    <row r="141" spans="1:9" s="8" customFormat="1" x14ac:dyDescent="0.2">
      <c r="A141" s="10">
        <v>22729</v>
      </c>
      <c r="B141" s="11">
        <v>42838</v>
      </c>
      <c r="C141" s="12">
        <v>43.3</v>
      </c>
      <c r="D141" s="12">
        <v>3.3</v>
      </c>
      <c r="E141" s="17"/>
      <c r="F141" s="134">
        <f>+C129+C130+C132+C134</f>
        <v>134.43</v>
      </c>
      <c r="G141" s="123">
        <f>+F141*0.97831</f>
        <v>131.51421329999999</v>
      </c>
      <c r="H141" s="253" t="s">
        <v>996</v>
      </c>
      <c r="I141" s="16"/>
    </row>
    <row r="142" spans="1:9" s="8" customFormat="1" x14ac:dyDescent="0.2">
      <c r="A142" s="10">
        <v>22730</v>
      </c>
      <c r="B142" s="11">
        <v>42839</v>
      </c>
      <c r="C142" s="12">
        <v>285</v>
      </c>
      <c r="D142" s="12">
        <v>21.72</v>
      </c>
      <c r="E142" s="15"/>
      <c r="I142" s="16"/>
    </row>
    <row r="143" spans="1:9" s="8" customFormat="1" x14ac:dyDescent="0.2">
      <c r="A143" s="10">
        <v>22731</v>
      </c>
      <c r="B143" s="11">
        <v>42839</v>
      </c>
      <c r="C143" s="12">
        <v>24</v>
      </c>
      <c r="D143" s="12">
        <v>1.82</v>
      </c>
      <c r="E143" s="15" t="s">
        <v>11</v>
      </c>
      <c r="I143" s="16"/>
    </row>
    <row r="144" spans="1:9" s="8" customFormat="1" x14ac:dyDescent="0.2">
      <c r="A144" s="10">
        <v>22732</v>
      </c>
      <c r="B144" s="11">
        <v>42839</v>
      </c>
      <c r="C144" s="12">
        <v>107.17</v>
      </c>
      <c r="D144" s="12">
        <v>8.17</v>
      </c>
      <c r="E144" s="15" t="s">
        <v>11</v>
      </c>
      <c r="I144" s="16"/>
    </row>
    <row r="145" spans="1:9" s="8" customFormat="1" x14ac:dyDescent="0.2">
      <c r="A145" s="10">
        <v>22733</v>
      </c>
      <c r="B145" s="11">
        <v>42839</v>
      </c>
      <c r="C145" s="12">
        <v>570.48</v>
      </c>
      <c r="D145" s="12">
        <v>43.48</v>
      </c>
      <c r="E145" s="15" t="s">
        <v>997</v>
      </c>
      <c r="F145" s="21"/>
      <c r="G145" s="22"/>
      <c r="H145" s="10"/>
      <c r="I145" s="16"/>
    </row>
    <row r="146" spans="1:9" s="8" customFormat="1" x14ac:dyDescent="0.2">
      <c r="A146" s="10">
        <v>22734</v>
      </c>
      <c r="B146" s="11">
        <v>42839</v>
      </c>
      <c r="C146" s="12">
        <v>140.72999999999999</v>
      </c>
      <c r="D146" s="12">
        <v>10.73</v>
      </c>
      <c r="E146" s="15" t="s">
        <v>11</v>
      </c>
      <c r="I146" s="16"/>
    </row>
    <row r="147" spans="1:9" s="8" customFormat="1" x14ac:dyDescent="0.2">
      <c r="A147" s="10">
        <v>22735</v>
      </c>
      <c r="B147" s="11">
        <v>42839</v>
      </c>
      <c r="C147" s="12">
        <v>172.66</v>
      </c>
      <c r="D147" s="12">
        <v>13.16</v>
      </c>
      <c r="E147" s="15" t="s">
        <v>11</v>
      </c>
      <c r="I147" s="16"/>
    </row>
    <row r="148" spans="1:9" s="8" customFormat="1" x14ac:dyDescent="0.2">
      <c r="A148" s="10">
        <v>22736</v>
      </c>
      <c r="B148" s="11">
        <v>42839</v>
      </c>
      <c r="C148" s="12">
        <v>97.43</v>
      </c>
      <c r="D148" s="12">
        <v>7.43</v>
      </c>
      <c r="E148" s="15" t="s">
        <v>11</v>
      </c>
      <c r="F148" s="21"/>
      <c r="G148" s="22"/>
      <c r="H148" s="10"/>
      <c r="I148" s="16"/>
    </row>
    <row r="149" spans="1:9" s="8" customFormat="1" x14ac:dyDescent="0.2">
      <c r="A149" s="10">
        <v>22737</v>
      </c>
      <c r="B149" s="11">
        <v>42839</v>
      </c>
      <c r="C149" s="12">
        <v>165</v>
      </c>
      <c r="D149" s="12">
        <v>12.57</v>
      </c>
      <c r="E149" s="17"/>
      <c r="I149" s="16"/>
    </row>
    <row r="150" spans="1:9" s="8" customFormat="1" x14ac:dyDescent="0.2">
      <c r="A150" s="10">
        <v>22738</v>
      </c>
      <c r="B150" s="11">
        <v>42839</v>
      </c>
      <c r="C150" s="12">
        <v>182.4</v>
      </c>
      <c r="D150" s="12">
        <v>13.9</v>
      </c>
      <c r="E150" s="17"/>
      <c r="F150" s="18"/>
      <c r="G150" s="19"/>
      <c r="H150" s="12"/>
      <c r="I150" s="16"/>
    </row>
    <row r="151" spans="1:9" s="8" customFormat="1" x14ac:dyDescent="0.2">
      <c r="A151" s="10">
        <v>22739</v>
      </c>
      <c r="B151" s="11">
        <v>42839</v>
      </c>
      <c r="C151" s="12">
        <v>24.84</v>
      </c>
      <c r="D151" s="12">
        <v>1.89</v>
      </c>
      <c r="E151" s="15" t="s">
        <v>11</v>
      </c>
      <c r="I151" s="16"/>
    </row>
    <row r="152" spans="1:9" s="8" customFormat="1" x14ac:dyDescent="0.2">
      <c r="A152" s="10">
        <v>22740</v>
      </c>
      <c r="B152" s="11">
        <v>42839</v>
      </c>
      <c r="C152" s="12">
        <v>12.94</v>
      </c>
      <c r="D152" s="12">
        <v>0.99</v>
      </c>
      <c r="E152" s="15" t="s">
        <v>11</v>
      </c>
      <c r="F152" s="21"/>
      <c r="G152" s="22"/>
      <c r="H152" s="10"/>
      <c r="I152" s="16"/>
    </row>
    <row r="153" spans="1:9" s="8" customFormat="1" x14ac:dyDescent="0.2">
      <c r="A153" s="10">
        <v>22741</v>
      </c>
      <c r="B153" s="11">
        <v>42839</v>
      </c>
      <c r="C153" s="12">
        <v>83.240000000000009</v>
      </c>
      <c r="D153" s="12">
        <v>6.34</v>
      </c>
      <c r="E153" s="15" t="s">
        <v>533</v>
      </c>
      <c r="I153" s="16"/>
    </row>
    <row r="154" spans="1:9" s="8" customFormat="1" x14ac:dyDescent="0.2">
      <c r="A154" s="10">
        <v>22742</v>
      </c>
      <c r="B154" s="11">
        <v>42839</v>
      </c>
      <c r="C154" s="12">
        <v>34.64</v>
      </c>
      <c r="D154" s="12">
        <v>2.64</v>
      </c>
      <c r="E154" s="17"/>
      <c r="F154" s="18"/>
      <c r="G154" s="19"/>
      <c r="H154" s="12"/>
      <c r="I154" s="16"/>
    </row>
    <row r="155" spans="1:9" s="8" customFormat="1" x14ac:dyDescent="0.2">
      <c r="A155" s="10">
        <v>22743</v>
      </c>
      <c r="B155" s="11">
        <v>42839</v>
      </c>
      <c r="C155" s="12">
        <v>7.5</v>
      </c>
      <c r="D155" s="12">
        <v>0.56999999999999995</v>
      </c>
      <c r="E155" s="17"/>
      <c r="F155" s="18"/>
      <c r="G155" s="19"/>
      <c r="H155" s="12"/>
      <c r="I155" s="16"/>
    </row>
    <row r="156" spans="1:9" s="8" customFormat="1" x14ac:dyDescent="0.2">
      <c r="A156" s="10">
        <v>22744</v>
      </c>
      <c r="B156" s="11">
        <v>42839</v>
      </c>
      <c r="C156" s="12">
        <v>10</v>
      </c>
      <c r="D156" s="12">
        <v>0.76</v>
      </c>
      <c r="E156" s="15" t="s">
        <v>533</v>
      </c>
      <c r="I156" s="16"/>
    </row>
    <row r="157" spans="1:9" s="8" customFormat="1" x14ac:dyDescent="0.2">
      <c r="A157" s="10">
        <v>22745</v>
      </c>
      <c r="B157" s="11">
        <v>42839</v>
      </c>
      <c r="C157" s="12">
        <v>54.07</v>
      </c>
      <c r="D157" s="12">
        <v>4.12</v>
      </c>
      <c r="E157" s="15" t="s">
        <v>533</v>
      </c>
      <c r="I157" s="16"/>
    </row>
    <row r="158" spans="1:9" s="8" customFormat="1" x14ac:dyDescent="0.2">
      <c r="A158" s="10">
        <v>22746</v>
      </c>
      <c r="B158" s="11">
        <v>42839</v>
      </c>
      <c r="C158" s="12">
        <v>10</v>
      </c>
      <c r="D158" s="12">
        <v>0.76</v>
      </c>
      <c r="E158" s="15" t="s">
        <v>21</v>
      </c>
      <c r="I158" s="16"/>
    </row>
    <row r="159" spans="1:9" s="8" customFormat="1" x14ac:dyDescent="0.2">
      <c r="A159" s="10">
        <v>22747</v>
      </c>
      <c r="B159" s="11">
        <v>42839</v>
      </c>
      <c r="C159" s="12">
        <v>23.82</v>
      </c>
      <c r="D159" s="12">
        <v>1.82</v>
      </c>
      <c r="E159" s="17"/>
      <c r="F159" s="18"/>
      <c r="G159" s="19"/>
      <c r="H159" s="12"/>
      <c r="I159" s="16"/>
    </row>
    <row r="160" spans="1:9" s="8" customFormat="1" x14ac:dyDescent="0.2">
      <c r="A160" s="10">
        <v>22748</v>
      </c>
      <c r="B160" s="11">
        <v>42839</v>
      </c>
      <c r="C160" s="12">
        <v>15</v>
      </c>
      <c r="D160" s="12">
        <v>1.1399999999999999</v>
      </c>
      <c r="E160" s="17"/>
      <c r="F160" s="134">
        <f>+C143+C139+C144+200+C146+C147+C148+C151+C152+1</f>
        <v>868.72000000000014</v>
      </c>
      <c r="G160" s="123">
        <f>+F160*0.97831</f>
        <v>849.87746320000019</v>
      </c>
      <c r="H160" s="253" t="s">
        <v>998</v>
      </c>
      <c r="I160" s="16"/>
    </row>
    <row r="161" spans="1:9" s="8" customFormat="1" x14ac:dyDescent="0.2">
      <c r="A161" s="10">
        <v>22749</v>
      </c>
      <c r="B161" s="11">
        <v>42840</v>
      </c>
      <c r="C161" s="12">
        <v>130</v>
      </c>
      <c r="D161" s="12"/>
      <c r="E161" s="13" t="s">
        <v>999</v>
      </c>
      <c r="F161" s="18"/>
      <c r="G161" s="19"/>
      <c r="H161" s="12"/>
      <c r="I161" s="16"/>
    </row>
    <row r="162" spans="1:9" s="8" customFormat="1" x14ac:dyDescent="0.2">
      <c r="A162" s="10">
        <v>22750</v>
      </c>
      <c r="B162" s="11">
        <v>42840</v>
      </c>
      <c r="C162" s="12">
        <v>37.89</v>
      </c>
      <c r="D162" s="12">
        <v>2.89</v>
      </c>
      <c r="E162" s="15" t="s">
        <v>21</v>
      </c>
      <c r="I162" s="16"/>
    </row>
    <row r="163" spans="1:9" s="8" customFormat="1" x14ac:dyDescent="0.2">
      <c r="A163" s="10">
        <v>22751</v>
      </c>
      <c r="B163" s="11">
        <v>42840</v>
      </c>
      <c r="C163" s="12">
        <v>107.17</v>
      </c>
      <c r="D163" s="12">
        <v>8.17</v>
      </c>
      <c r="E163" s="15" t="s">
        <v>7</v>
      </c>
      <c r="F163" s="21"/>
      <c r="G163" s="22"/>
      <c r="H163" s="10"/>
      <c r="I163" s="16"/>
    </row>
    <row r="164" spans="1:9" s="8" customFormat="1" x14ac:dyDescent="0.2">
      <c r="A164" s="10">
        <v>22752</v>
      </c>
      <c r="B164" s="11">
        <v>42840</v>
      </c>
      <c r="C164" s="12">
        <v>64.95</v>
      </c>
      <c r="D164" s="12">
        <v>4.95</v>
      </c>
      <c r="E164" s="15" t="s">
        <v>11</v>
      </c>
      <c r="F164" s="21"/>
      <c r="G164" s="22"/>
      <c r="H164" s="10"/>
      <c r="I164" s="16"/>
    </row>
    <row r="165" spans="1:9" s="8" customFormat="1" x14ac:dyDescent="0.2">
      <c r="A165" s="10">
        <v>22753</v>
      </c>
      <c r="B165" s="11">
        <v>42840</v>
      </c>
      <c r="C165" s="12">
        <v>108.25</v>
      </c>
      <c r="D165" s="12">
        <v>8.25</v>
      </c>
      <c r="E165" s="15" t="s">
        <v>87</v>
      </c>
      <c r="I165" s="16"/>
    </row>
    <row r="166" spans="1:9" s="8" customFormat="1" x14ac:dyDescent="0.2">
      <c r="A166" s="10">
        <v>22754</v>
      </c>
      <c r="B166" s="11">
        <v>42840</v>
      </c>
      <c r="C166" s="12">
        <v>62.79</v>
      </c>
      <c r="D166" s="12">
        <v>4.79</v>
      </c>
      <c r="E166" s="17"/>
      <c r="I166" s="16"/>
    </row>
    <row r="167" spans="1:9" s="8" customFormat="1" x14ac:dyDescent="0.2">
      <c r="A167" s="10">
        <v>22755</v>
      </c>
      <c r="B167" s="11">
        <v>42840</v>
      </c>
      <c r="C167" s="12">
        <v>205</v>
      </c>
      <c r="D167" s="12"/>
      <c r="E167" s="15" t="s">
        <v>16</v>
      </c>
      <c r="F167" s="21"/>
      <c r="G167" s="22"/>
      <c r="H167" s="10"/>
      <c r="I167" s="16"/>
    </row>
    <row r="168" spans="1:9" s="8" customFormat="1" x14ac:dyDescent="0.2">
      <c r="A168" s="10">
        <v>22756</v>
      </c>
      <c r="B168" s="11">
        <v>42840</v>
      </c>
      <c r="C168" s="12">
        <v>150</v>
      </c>
      <c r="D168" s="12">
        <v>11.43</v>
      </c>
      <c r="E168" s="17"/>
      <c r="F168" s="134">
        <f>+C163+C164+80.11</f>
        <v>252.23000000000002</v>
      </c>
      <c r="G168" s="123">
        <f>+F168*0.97831</f>
        <v>246.75913130000001</v>
      </c>
      <c r="H168" s="253"/>
      <c r="I168" s="16"/>
    </row>
    <row r="169" spans="1:9" s="8" customFormat="1" x14ac:dyDescent="0.2">
      <c r="A169" s="10">
        <v>22757</v>
      </c>
      <c r="B169" s="11">
        <v>42842</v>
      </c>
      <c r="C169" s="12">
        <v>30</v>
      </c>
      <c r="D169" s="12"/>
      <c r="E169" s="17"/>
      <c r="F169" s="18"/>
      <c r="G169" s="19"/>
      <c r="H169" s="12"/>
      <c r="I169" s="16"/>
    </row>
    <row r="170" spans="1:9" s="8" customFormat="1" x14ac:dyDescent="0.2">
      <c r="A170" s="10">
        <v>22758</v>
      </c>
      <c r="B170" s="11">
        <v>42842</v>
      </c>
      <c r="C170" s="12">
        <v>8.66</v>
      </c>
      <c r="D170" s="12">
        <v>0.66</v>
      </c>
      <c r="E170" s="15" t="s">
        <v>11</v>
      </c>
      <c r="F170" s="21"/>
      <c r="G170" s="22"/>
      <c r="H170" s="10"/>
      <c r="I170" s="16"/>
    </row>
    <row r="171" spans="1:9" s="8" customFormat="1" x14ac:dyDescent="0.2">
      <c r="A171" s="10">
        <v>22759</v>
      </c>
      <c r="B171" s="11">
        <v>42842</v>
      </c>
      <c r="C171" s="12">
        <v>96.34</v>
      </c>
      <c r="D171" s="12">
        <v>7.34</v>
      </c>
      <c r="E171" s="15" t="s">
        <v>11</v>
      </c>
      <c r="I171" s="16"/>
    </row>
    <row r="172" spans="1:9" s="8" customFormat="1" x14ac:dyDescent="0.2">
      <c r="A172" s="10">
        <v>22760</v>
      </c>
      <c r="B172" s="11">
        <v>42842</v>
      </c>
      <c r="C172" s="12">
        <v>15.16</v>
      </c>
      <c r="D172" s="12">
        <v>1.1599999999999999</v>
      </c>
      <c r="E172" s="15" t="s">
        <v>11</v>
      </c>
      <c r="F172" s="21"/>
      <c r="G172" s="22"/>
      <c r="H172" s="10"/>
      <c r="I172" s="16"/>
    </row>
    <row r="173" spans="1:9" s="8" customFormat="1" x14ac:dyDescent="0.2">
      <c r="A173" s="10">
        <v>22761</v>
      </c>
      <c r="B173" s="11">
        <v>42842</v>
      </c>
      <c r="C173" s="12">
        <v>490.37</v>
      </c>
      <c r="D173" s="12">
        <v>37.369999999999997</v>
      </c>
      <c r="E173" s="15" t="s">
        <v>1000</v>
      </c>
      <c r="I173" s="16"/>
    </row>
    <row r="174" spans="1:9" s="8" customFormat="1" x14ac:dyDescent="0.2">
      <c r="A174" s="10">
        <v>22762</v>
      </c>
      <c r="B174" s="11">
        <v>42842</v>
      </c>
      <c r="C174" s="12">
        <v>373.46</v>
      </c>
      <c r="D174" s="12">
        <v>28.46</v>
      </c>
      <c r="E174" s="15" t="s">
        <v>1001</v>
      </c>
      <c r="I174" s="16"/>
    </row>
    <row r="175" spans="1:9" s="8" customFormat="1" x14ac:dyDescent="0.2">
      <c r="A175" s="10">
        <v>22763</v>
      </c>
      <c r="B175" s="11">
        <v>42842</v>
      </c>
      <c r="C175" s="12">
        <v>10.83</v>
      </c>
      <c r="D175" s="12">
        <v>0.83</v>
      </c>
      <c r="E175" s="17"/>
      <c r="I175" s="16"/>
    </row>
    <row r="176" spans="1:9" s="8" customFormat="1" x14ac:dyDescent="0.2">
      <c r="A176" s="10">
        <v>22764</v>
      </c>
      <c r="B176" s="11">
        <v>42842</v>
      </c>
      <c r="C176" s="12">
        <v>5.41</v>
      </c>
      <c r="D176" s="12">
        <v>0.41</v>
      </c>
      <c r="E176" s="15" t="s">
        <v>11</v>
      </c>
      <c r="I176" s="16"/>
    </row>
    <row r="177" spans="1:11" s="8" customFormat="1" x14ac:dyDescent="0.2">
      <c r="A177" s="10">
        <v>22765</v>
      </c>
      <c r="B177" s="11">
        <v>42842</v>
      </c>
      <c r="C177" s="12">
        <v>180</v>
      </c>
      <c r="D177" s="12">
        <v>13.72</v>
      </c>
      <c r="E177" s="13" t="s">
        <v>1002</v>
      </c>
      <c r="F177" s="134">
        <f>+C170+C171+C172+300+200+C176</f>
        <v>625.56999999999994</v>
      </c>
      <c r="G177" s="123">
        <f>+F177*0.97831</f>
        <v>612.0013866999999</v>
      </c>
      <c r="H177" s="253"/>
      <c r="I177" s="16"/>
    </row>
    <row r="178" spans="1:11" s="8" customFormat="1" x14ac:dyDescent="0.2">
      <c r="A178" s="10">
        <v>22766</v>
      </c>
      <c r="B178" s="11">
        <v>42843</v>
      </c>
      <c r="C178" s="12">
        <v>326.37</v>
      </c>
      <c r="D178" s="12">
        <v>24.87</v>
      </c>
      <c r="E178" s="23"/>
      <c r="F178" s="21"/>
      <c r="G178" s="22"/>
      <c r="H178" s="10"/>
      <c r="I178" s="16"/>
    </row>
    <row r="179" spans="1:11" s="8" customFormat="1" x14ac:dyDescent="0.2">
      <c r="A179" s="10">
        <v>22767</v>
      </c>
      <c r="B179" s="11">
        <v>42843</v>
      </c>
      <c r="C179" s="12">
        <v>300</v>
      </c>
      <c r="D179" s="12"/>
      <c r="E179" s="13" t="s">
        <v>1003</v>
      </c>
      <c r="F179" s="18"/>
      <c r="G179" s="19"/>
      <c r="H179" s="12"/>
      <c r="I179" s="16"/>
    </row>
    <row r="180" spans="1:11" s="8" customFormat="1" x14ac:dyDescent="0.2">
      <c r="A180" s="10">
        <v>22768</v>
      </c>
      <c r="B180" s="11">
        <v>42843</v>
      </c>
      <c r="C180" s="12">
        <v>21.65</v>
      </c>
      <c r="D180" s="12">
        <v>1.65</v>
      </c>
      <c r="E180" s="17"/>
      <c r="F180" s="18"/>
      <c r="G180" s="19"/>
      <c r="H180" s="12"/>
      <c r="I180" s="16"/>
    </row>
    <row r="181" spans="1:11" s="8" customFormat="1" x14ac:dyDescent="0.2">
      <c r="A181" s="10">
        <v>22769</v>
      </c>
      <c r="B181" s="11">
        <v>42843</v>
      </c>
      <c r="C181" s="12">
        <v>207.3</v>
      </c>
      <c r="D181" s="12">
        <v>15.8</v>
      </c>
      <c r="E181" s="15" t="s">
        <v>11</v>
      </c>
      <c r="F181" s="21"/>
      <c r="G181" s="22"/>
      <c r="H181" s="10"/>
      <c r="I181" s="16"/>
    </row>
    <row r="182" spans="1:11" s="8" customFormat="1" x14ac:dyDescent="0.2">
      <c r="A182" s="10">
        <v>22770</v>
      </c>
      <c r="B182" s="11">
        <v>42843</v>
      </c>
      <c r="C182" s="12">
        <v>455</v>
      </c>
      <c r="D182" s="12">
        <v>34.68</v>
      </c>
      <c r="E182" s="17"/>
      <c r="I182" s="16"/>
    </row>
    <row r="183" spans="1:11" s="8" customFormat="1" x14ac:dyDescent="0.2">
      <c r="A183" s="10">
        <v>22771</v>
      </c>
      <c r="B183" s="11">
        <v>42843</v>
      </c>
      <c r="C183" s="12">
        <v>28</v>
      </c>
      <c r="D183" s="12"/>
      <c r="E183" s="15" t="s">
        <v>21</v>
      </c>
      <c r="F183" s="21"/>
      <c r="G183" s="22"/>
      <c r="H183" s="10"/>
      <c r="I183" s="16"/>
    </row>
    <row r="184" spans="1:11" s="8" customFormat="1" x14ac:dyDescent="0.2">
      <c r="A184" s="10">
        <v>22772</v>
      </c>
      <c r="B184" s="11">
        <v>42843</v>
      </c>
      <c r="C184" s="12">
        <v>468.72</v>
      </c>
      <c r="D184" s="12">
        <v>35.72</v>
      </c>
      <c r="E184" s="15"/>
      <c r="F184" s="21"/>
      <c r="G184" s="22"/>
      <c r="H184" s="10"/>
      <c r="I184" s="16"/>
    </row>
    <row r="185" spans="1:11" s="8" customFormat="1" x14ac:dyDescent="0.2">
      <c r="A185" s="10">
        <v>22773</v>
      </c>
      <c r="B185" s="11">
        <v>42843</v>
      </c>
      <c r="C185" s="12">
        <v>158</v>
      </c>
      <c r="D185" s="12">
        <v>12.04</v>
      </c>
      <c r="E185" s="15" t="s">
        <v>7</v>
      </c>
      <c r="F185" s="21"/>
      <c r="G185" s="22"/>
      <c r="H185" s="10"/>
      <c r="I185" s="16"/>
    </row>
    <row r="186" spans="1:11" s="8" customFormat="1" x14ac:dyDescent="0.2">
      <c r="A186" s="10">
        <v>22774</v>
      </c>
      <c r="B186" s="11">
        <v>42843</v>
      </c>
      <c r="C186" s="12">
        <v>65</v>
      </c>
      <c r="D186" s="12">
        <v>4.95</v>
      </c>
      <c r="E186" s="17"/>
      <c r="I186" s="16"/>
    </row>
    <row r="187" spans="1:11" s="8" customFormat="1" x14ac:dyDescent="0.2">
      <c r="A187" s="10">
        <v>22775</v>
      </c>
      <c r="B187" s="11">
        <v>42843</v>
      </c>
      <c r="C187" s="12">
        <v>25.98</v>
      </c>
      <c r="D187" s="12">
        <v>1.98</v>
      </c>
      <c r="E187" s="17"/>
      <c r="F187" s="134">
        <f>+C181+390.78+C185+100</f>
        <v>856.07999999999993</v>
      </c>
      <c r="G187" s="123">
        <f>+F187*0.97831</f>
        <v>837.51162479999994</v>
      </c>
      <c r="H187" s="253"/>
      <c r="I187" s="16"/>
    </row>
    <row r="188" spans="1:11" s="8" customFormat="1" x14ac:dyDescent="0.2">
      <c r="A188" s="10">
        <v>22776</v>
      </c>
      <c r="B188" s="11">
        <v>42844</v>
      </c>
      <c r="C188" s="12">
        <v>17.32</v>
      </c>
      <c r="D188" s="12">
        <v>1.32</v>
      </c>
      <c r="E188" s="15" t="s">
        <v>11</v>
      </c>
      <c r="I188" s="16"/>
    </row>
    <row r="189" spans="1:11" x14ac:dyDescent="0.2">
      <c r="A189" s="10">
        <v>22777</v>
      </c>
      <c r="B189" s="11">
        <v>42844</v>
      </c>
      <c r="C189" s="12">
        <v>15</v>
      </c>
      <c r="D189" s="12"/>
      <c r="E189" s="15" t="s">
        <v>417</v>
      </c>
      <c r="F189" s="16"/>
      <c r="G189" s="16"/>
      <c r="H189" s="16"/>
      <c r="I189" s="16"/>
      <c r="J189" s="8"/>
      <c r="K189" s="214"/>
    </row>
    <row r="190" spans="1:11" x14ac:dyDescent="0.2">
      <c r="A190" s="10">
        <v>22778</v>
      </c>
      <c r="B190" s="11">
        <v>42844</v>
      </c>
      <c r="C190" s="12">
        <v>20</v>
      </c>
      <c r="D190" s="12"/>
      <c r="E190" s="15" t="s">
        <v>10</v>
      </c>
      <c r="F190" s="16"/>
      <c r="G190" s="16"/>
      <c r="H190" s="16"/>
      <c r="I190" s="16"/>
      <c r="J190" s="8"/>
      <c r="K190" s="214"/>
    </row>
    <row r="191" spans="1:11" x14ac:dyDescent="0.2">
      <c r="A191" s="10">
        <v>22779</v>
      </c>
      <c r="B191" s="11">
        <v>42844</v>
      </c>
      <c r="C191" s="12">
        <v>189.44</v>
      </c>
      <c r="D191" s="12">
        <v>14.44</v>
      </c>
      <c r="E191" s="13"/>
      <c r="F191" s="14"/>
      <c r="G191" s="14"/>
      <c r="H191" s="14"/>
      <c r="I191" s="16"/>
      <c r="J191" s="8"/>
      <c r="K191" s="214"/>
    </row>
    <row r="192" spans="1:11" x14ac:dyDescent="0.2">
      <c r="A192" s="10">
        <v>22780</v>
      </c>
      <c r="B192" s="11">
        <v>42844</v>
      </c>
      <c r="C192" s="12">
        <v>53.999999999999993</v>
      </c>
      <c r="D192" s="12">
        <v>4.12</v>
      </c>
      <c r="E192" s="15" t="s">
        <v>7</v>
      </c>
      <c r="I192" s="16"/>
      <c r="J192" s="8"/>
      <c r="K192" s="214"/>
    </row>
    <row r="193" spans="1:11" x14ac:dyDescent="0.2">
      <c r="A193" s="10">
        <v>22781</v>
      </c>
      <c r="B193" s="11">
        <v>42844</v>
      </c>
      <c r="C193" s="12">
        <v>74.69</v>
      </c>
      <c r="D193" s="12">
        <v>5.69</v>
      </c>
      <c r="E193" s="15" t="s">
        <v>11</v>
      </c>
      <c r="F193" s="21"/>
      <c r="G193" s="22"/>
      <c r="H193" s="10"/>
      <c r="I193" s="16"/>
      <c r="J193" s="8"/>
      <c r="K193" s="214"/>
    </row>
    <row r="194" spans="1:11" x14ac:dyDescent="0.2">
      <c r="A194" s="10">
        <v>22782</v>
      </c>
      <c r="B194" s="11">
        <v>42844</v>
      </c>
      <c r="C194" s="12">
        <v>45.999999999999993</v>
      </c>
      <c r="D194" s="12">
        <v>3.51</v>
      </c>
      <c r="E194" s="15" t="s">
        <v>11</v>
      </c>
      <c r="F194" s="134">
        <f>+C188+C189+C192+C193+C194+173.46</f>
        <v>380.47</v>
      </c>
      <c r="G194" s="123">
        <f>+F194*0.97831</f>
        <v>372.21760570000004</v>
      </c>
      <c r="H194" s="253"/>
      <c r="I194" s="16"/>
      <c r="J194" s="8"/>
      <c r="K194" s="214"/>
    </row>
    <row r="195" spans="1:11" x14ac:dyDescent="0.2">
      <c r="A195" s="10">
        <v>22783</v>
      </c>
      <c r="B195" s="11">
        <v>42845</v>
      </c>
      <c r="C195" s="12">
        <v>205</v>
      </c>
      <c r="D195" s="12">
        <v>15.62</v>
      </c>
      <c r="E195" s="17"/>
      <c r="F195" s="18"/>
      <c r="G195" s="19"/>
      <c r="H195" s="12"/>
      <c r="I195" s="16"/>
      <c r="J195" s="8"/>
      <c r="K195" s="214"/>
    </row>
    <row r="196" spans="1:11" x14ac:dyDescent="0.2">
      <c r="A196" s="10">
        <v>22784</v>
      </c>
      <c r="B196" s="11">
        <v>42845</v>
      </c>
      <c r="C196" s="12">
        <v>37.669999999999995</v>
      </c>
      <c r="D196" s="12">
        <v>2.87</v>
      </c>
      <c r="E196" s="17"/>
      <c r="F196" s="18"/>
      <c r="G196" s="19"/>
      <c r="H196" s="12"/>
      <c r="I196" s="16"/>
      <c r="J196" s="8"/>
      <c r="K196" s="214"/>
    </row>
    <row r="197" spans="1:11" x14ac:dyDescent="0.2">
      <c r="A197" s="10">
        <v>22785</v>
      </c>
      <c r="B197" s="11">
        <v>42845</v>
      </c>
      <c r="C197" s="12">
        <v>24.36</v>
      </c>
      <c r="D197" s="12">
        <v>1.86</v>
      </c>
      <c r="E197" s="15" t="s">
        <v>11</v>
      </c>
      <c r="I197" s="16"/>
      <c r="J197" s="8"/>
      <c r="K197" s="214"/>
    </row>
    <row r="198" spans="1:11" x14ac:dyDescent="0.2">
      <c r="A198" s="10">
        <v>22786</v>
      </c>
      <c r="B198" s="11">
        <v>42845</v>
      </c>
      <c r="C198" s="12">
        <v>25.76</v>
      </c>
      <c r="D198" s="12"/>
      <c r="E198" s="15" t="s">
        <v>16</v>
      </c>
      <c r="F198" s="21"/>
      <c r="G198" s="22"/>
      <c r="H198" s="10"/>
      <c r="I198" s="16"/>
      <c r="J198" s="8"/>
      <c r="K198" s="214"/>
    </row>
    <row r="199" spans="1:11" x14ac:dyDescent="0.2">
      <c r="A199" s="10">
        <v>22787</v>
      </c>
      <c r="B199" s="11">
        <v>42845</v>
      </c>
      <c r="C199" s="12">
        <v>13.12</v>
      </c>
      <c r="D199" s="12"/>
      <c r="E199" s="15" t="s">
        <v>97</v>
      </c>
      <c r="F199" s="21"/>
      <c r="G199" s="22"/>
      <c r="H199" s="10"/>
      <c r="I199" s="16"/>
      <c r="J199" s="8"/>
      <c r="K199" s="214"/>
    </row>
    <row r="200" spans="1:11" x14ac:dyDescent="0.2">
      <c r="A200" s="10">
        <v>22788</v>
      </c>
      <c r="B200" s="11">
        <v>42845</v>
      </c>
      <c r="C200" s="12">
        <v>799.25</v>
      </c>
      <c r="D200" s="12"/>
      <c r="E200" s="15" t="s">
        <v>363</v>
      </c>
      <c r="F200" s="134">
        <f>+C197</f>
        <v>24.36</v>
      </c>
      <c r="G200" s="123">
        <f>+F200*0.97831</f>
        <v>23.831631600000001</v>
      </c>
      <c r="H200" s="253"/>
      <c r="I200" s="16"/>
      <c r="J200" s="8"/>
      <c r="K200" s="214"/>
    </row>
    <row r="201" spans="1:11" x14ac:dyDescent="0.2">
      <c r="A201" s="10">
        <v>22789</v>
      </c>
      <c r="B201" s="11">
        <v>42846</v>
      </c>
      <c r="C201" s="12">
        <v>186.73</v>
      </c>
      <c r="D201" s="12">
        <v>14.23</v>
      </c>
      <c r="E201" s="15" t="s">
        <v>11</v>
      </c>
      <c r="F201" s="21"/>
      <c r="G201" s="22"/>
      <c r="H201" s="10"/>
      <c r="I201" s="16"/>
      <c r="J201" s="8"/>
      <c r="K201" s="214"/>
    </row>
    <row r="202" spans="1:11" x14ac:dyDescent="0.2">
      <c r="A202" s="10">
        <v>22790</v>
      </c>
      <c r="B202" s="11">
        <v>42846</v>
      </c>
      <c r="C202" s="12">
        <v>84.759999999999991</v>
      </c>
      <c r="D202" s="12">
        <v>6.46</v>
      </c>
      <c r="E202" s="15" t="s">
        <v>11</v>
      </c>
      <c r="F202" s="21"/>
      <c r="G202" s="22"/>
      <c r="H202" s="10"/>
      <c r="I202" s="16"/>
      <c r="J202" s="8"/>
      <c r="K202" s="214"/>
    </row>
    <row r="203" spans="1:11" x14ac:dyDescent="0.2">
      <c r="A203" s="10">
        <v>22791</v>
      </c>
      <c r="B203" s="11">
        <v>42846</v>
      </c>
      <c r="C203" s="12">
        <v>62.010000000000005</v>
      </c>
      <c r="D203" s="12">
        <v>4.7300000000000004</v>
      </c>
      <c r="E203" s="13"/>
      <c r="F203" s="18"/>
      <c r="G203" s="19"/>
      <c r="H203" s="12"/>
      <c r="I203" s="16"/>
      <c r="J203" s="8"/>
      <c r="K203" s="214"/>
    </row>
    <row r="204" spans="1:11" x14ac:dyDescent="0.2">
      <c r="A204" s="10">
        <v>22792</v>
      </c>
      <c r="B204" s="11">
        <v>42846</v>
      </c>
      <c r="C204" s="12">
        <v>22.73</v>
      </c>
      <c r="D204" s="12">
        <v>1.73</v>
      </c>
      <c r="E204" s="13"/>
      <c r="F204" s="18"/>
      <c r="G204" s="19"/>
      <c r="H204" s="12"/>
      <c r="I204" s="16"/>
      <c r="J204" s="8"/>
      <c r="K204" s="214"/>
    </row>
    <row r="205" spans="1:11" x14ac:dyDescent="0.2">
      <c r="A205" s="10">
        <v>22793</v>
      </c>
      <c r="B205" s="11">
        <v>42846</v>
      </c>
      <c r="C205" s="12">
        <v>37.89</v>
      </c>
      <c r="D205" s="12">
        <v>2.89</v>
      </c>
      <c r="E205" s="15" t="s">
        <v>7</v>
      </c>
      <c r="F205" s="10"/>
      <c r="G205" s="10"/>
      <c r="H205" s="10"/>
      <c r="I205" s="10"/>
    </row>
    <row r="206" spans="1:11" x14ac:dyDescent="0.2">
      <c r="A206" s="10">
        <v>22794</v>
      </c>
      <c r="B206" s="11">
        <v>42846</v>
      </c>
      <c r="C206" s="12">
        <v>64.95</v>
      </c>
      <c r="D206" s="12">
        <v>4.95</v>
      </c>
      <c r="E206" s="15" t="s">
        <v>11</v>
      </c>
      <c r="F206" s="10"/>
      <c r="G206" s="10"/>
      <c r="H206" s="10"/>
      <c r="I206" s="10"/>
    </row>
    <row r="207" spans="1:11" x14ac:dyDescent="0.2">
      <c r="A207" s="10">
        <v>22795</v>
      </c>
      <c r="B207" s="11">
        <v>42846</v>
      </c>
      <c r="C207" s="12">
        <v>82.27</v>
      </c>
      <c r="D207" s="12">
        <v>6.27</v>
      </c>
      <c r="E207" s="15" t="s">
        <v>7</v>
      </c>
      <c r="F207" s="10"/>
      <c r="G207" s="10"/>
      <c r="H207" s="10"/>
      <c r="I207" s="10"/>
    </row>
    <row r="208" spans="1:11" x14ac:dyDescent="0.2">
      <c r="A208" s="10">
        <v>22796</v>
      </c>
      <c r="B208" s="11">
        <v>42846</v>
      </c>
      <c r="C208" s="12">
        <v>42</v>
      </c>
      <c r="D208" s="12">
        <v>3.2</v>
      </c>
      <c r="E208" s="13"/>
      <c r="F208" s="134">
        <f>+C201+C202+C205+C206+C207</f>
        <v>456.59999999999997</v>
      </c>
      <c r="G208" s="123">
        <f>+F208*0.97831</f>
        <v>446.69634599999995</v>
      </c>
      <c r="H208" s="253"/>
      <c r="I208" s="10"/>
    </row>
    <row r="209" spans="1:9" x14ac:dyDescent="0.2">
      <c r="A209" s="10">
        <v>22797</v>
      </c>
      <c r="B209" s="11">
        <v>42849</v>
      </c>
      <c r="C209" s="12">
        <v>478.47</v>
      </c>
      <c r="D209" s="12">
        <v>36.47</v>
      </c>
      <c r="E209" s="15" t="s">
        <v>533</v>
      </c>
      <c r="F209" s="10"/>
      <c r="G209" s="10"/>
      <c r="H209" s="10"/>
      <c r="I209" s="10"/>
    </row>
    <row r="210" spans="1:9" x14ac:dyDescent="0.2">
      <c r="A210" s="10">
        <v>22798</v>
      </c>
      <c r="B210" s="11">
        <v>42849</v>
      </c>
      <c r="C210" s="12">
        <v>53.04</v>
      </c>
      <c r="D210" s="12">
        <v>4.04</v>
      </c>
      <c r="E210" s="15" t="s">
        <v>21</v>
      </c>
      <c r="F210" s="10"/>
      <c r="G210" s="10"/>
      <c r="H210" s="10"/>
      <c r="I210" s="10"/>
    </row>
    <row r="211" spans="1:9" x14ac:dyDescent="0.2">
      <c r="A211" s="10">
        <v>22799</v>
      </c>
      <c r="B211" s="11">
        <v>42849</v>
      </c>
      <c r="C211" s="12">
        <v>497.54999999999995</v>
      </c>
      <c r="D211" s="12"/>
      <c r="E211" s="15" t="s">
        <v>363</v>
      </c>
      <c r="F211" s="115"/>
      <c r="G211" s="115"/>
      <c r="I211" s="10"/>
    </row>
    <row r="212" spans="1:9" x14ac:dyDescent="0.2">
      <c r="A212" s="10">
        <v>22800</v>
      </c>
      <c r="B212" s="11">
        <v>42849</v>
      </c>
      <c r="C212" s="12">
        <v>74.69</v>
      </c>
      <c r="D212" s="12">
        <v>5.69</v>
      </c>
      <c r="E212" s="15" t="s">
        <v>7</v>
      </c>
      <c r="F212" s="21"/>
      <c r="G212" s="22"/>
      <c r="H212" s="10"/>
      <c r="I212" s="10"/>
    </row>
    <row r="213" spans="1:9" x14ac:dyDescent="0.2">
      <c r="A213" s="10">
        <v>22801</v>
      </c>
      <c r="B213" s="11">
        <v>42849</v>
      </c>
      <c r="C213" s="12">
        <v>93.96</v>
      </c>
      <c r="D213" s="12">
        <v>7.16</v>
      </c>
      <c r="E213" s="15" t="s">
        <v>7</v>
      </c>
      <c r="I213" s="10"/>
    </row>
    <row r="214" spans="1:9" x14ac:dyDescent="0.2">
      <c r="A214" s="10">
        <v>22802</v>
      </c>
      <c r="B214" s="11">
        <v>42849</v>
      </c>
      <c r="C214" s="12">
        <v>189.3</v>
      </c>
      <c r="D214" s="12">
        <v>14.43</v>
      </c>
      <c r="E214" s="17"/>
      <c r="I214" s="10"/>
    </row>
    <row r="215" spans="1:9" x14ac:dyDescent="0.2">
      <c r="A215" s="10">
        <v>22803</v>
      </c>
      <c r="B215" s="11">
        <v>42849</v>
      </c>
      <c r="C215" s="12">
        <v>184.03</v>
      </c>
      <c r="D215" s="12">
        <v>14.03</v>
      </c>
      <c r="E215" s="15" t="s">
        <v>7</v>
      </c>
      <c r="F215" s="21"/>
      <c r="G215" s="22"/>
      <c r="H215" s="10"/>
      <c r="I215" s="10"/>
    </row>
    <row r="216" spans="1:9" x14ac:dyDescent="0.2">
      <c r="A216" s="10">
        <v>22804</v>
      </c>
      <c r="B216" s="11">
        <v>42849</v>
      </c>
      <c r="C216" s="12">
        <v>20</v>
      </c>
      <c r="D216" s="12"/>
      <c r="E216" s="13" t="s">
        <v>754</v>
      </c>
      <c r="I216" s="10"/>
    </row>
    <row r="217" spans="1:9" x14ac:dyDescent="0.2">
      <c r="A217" s="10">
        <v>22805</v>
      </c>
      <c r="B217" s="11">
        <v>42849</v>
      </c>
      <c r="C217" s="12">
        <v>64.95</v>
      </c>
      <c r="D217" s="12">
        <v>4.95</v>
      </c>
      <c r="E217" s="15" t="s">
        <v>11</v>
      </c>
      <c r="I217" s="10"/>
    </row>
    <row r="218" spans="1:9" x14ac:dyDescent="0.2">
      <c r="A218" s="10">
        <v>22806</v>
      </c>
      <c r="B218" s="11">
        <v>42849</v>
      </c>
      <c r="C218" s="12">
        <v>330</v>
      </c>
      <c r="D218" s="12">
        <v>25.15</v>
      </c>
      <c r="E218" s="17"/>
      <c r="F218" s="134">
        <f>+C212+C213+C215+C217</f>
        <v>417.62999999999994</v>
      </c>
      <c r="G218" s="123">
        <f>+F218*0.97831</f>
        <v>408.57160529999993</v>
      </c>
      <c r="H218" s="253"/>
      <c r="I218" s="10"/>
    </row>
    <row r="219" spans="1:9" x14ac:dyDescent="0.2">
      <c r="A219" s="10">
        <v>22807</v>
      </c>
      <c r="B219" s="11">
        <v>42850</v>
      </c>
      <c r="C219" s="12">
        <v>168.82</v>
      </c>
      <c r="D219" s="12">
        <v>12.87</v>
      </c>
      <c r="E219" s="15" t="s">
        <v>21</v>
      </c>
      <c r="I219" s="10"/>
    </row>
    <row r="220" spans="1:9" x14ac:dyDescent="0.2">
      <c r="A220" s="10">
        <v>22808</v>
      </c>
      <c r="B220" s="11">
        <v>42850</v>
      </c>
      <c r="C220" s="12">
        <v>16.239999999999998</v>
      </c>
      <c r="D220" s="12">
        <v>1.24</v>
      </c>
      <c r="E220" s="17"/>
      <c r="F220" s="18"/>
      <c r="G220" s="19"/>
      <c r="H220" s="12"/>
      <c r="I220" s="10"/>
    </row>
    <row r="221" spans="1:9" x14ac:dyDescent="0.2">
      <c r="A221" s="10">
        <v>22809</v>
      </c>
      <c r="B221" s="11">
        <v>42850</v>
      </c>
      <c r="C221" s="12">
        <v>5.36</v>
      </c>
      <c r="D221" s="12">
        <v>0.41</v>
      </c>
      <c r="E221" s="17"/>
      <c r="F221" s="18"/>
      <c r="G221" s="19"/>
      <c r="H221" s="12"/>
      <c r="I221" s="10"/>
    </row>
    <row r="222" spans="1:9" x14ac:dyDescent="0.2">
      <c r="A222" s="10">
        <v>22810</v>
      </c>
      <c r="B222" s="11">
        <v>42850</v>
      </c>
      <c r="C222" s="12">
        <v>255</v>
      </c>
      <c r="D222" s="12"/>
      <c r="E222" s="15" t="s">
        <v>10</v>
      </c>
      <c r="I222" s="10"/>
    </row>
    <row r="223" spans="1:9" x14ac:dyDescent="0.2">
      <c r="A223" s="10">
        <v>22811</v>
      </c>
      <c r="B223" s="11">
        <v>42850</v>
      </c>
      <c r="C223" s="12">
        <v>21.65</v>
      </c>
      <c r="D223" s="12">
        <v>1.65</v>
      </c>
      <c r="E223" s="15"/>
      <c r="I223" s="10"/>
    </row>
    <row r="224" spans="1:9" x14ac:dyDescent="0.2">
      <c r="A224" s="10">
        <v>22812</v>
      </c>
      <c r="B224" s="11">
        <v>42850</v>
      </c>
      <c r="C224" s="12">
        <v>128.82</v>
      </c>
      <c r="D224" s="12">
        <v>9.82</v>
      </c>
      <c r="E224" s="15" t="s">
        <v>11</v>
      </c>
      <c r="F224" s="21"/>
      <c r="G224" s="22"/>
      <c r="H224" s="10"/>
      <c r="I224" s="10"/>
    </row>
    <row r="225" spans="1:9" x14ac:dyDescent="0.2">
      <c r="A225" s="10">
        <v>22813</v>
      </c>
      <c r="B225" s="11">
        <v>42850</v>
      </c>
      <c r="C225" s="12">
        <v>31.03</v>
      </c>
      <c r="D225" s="12">
        <v>2.37</v>
      </c>
      <c r="E225" s="17"/>
      <c r="F225" s="18"/>
      <c r="G225" s="19"/>
      <c r="H225" s="12"/>
      <c r="I225" s="10"/>
    </row>
    <row r="226" spans="1:9" x14ac:dyDescent="0.2">
      <c r="A226" s="10">
        <v>22814</v>
      </c>
      <c r="B226" s="11">
        <v>42850</v>
      </c>
      <c r="C226" s="12">
        <v>16.239999999999998</v>
      </c>
      <c r="D226" s="12">
        <v>1.24</v>
      </c>
      <c r="E226" s="17"/>
      <c r="F226" s="18"/>
      <c r="G226" s="19"/>
      <c r="H226" s="12"/>
      <c r="I226" s="10"/>
    </row>
    <row r="227" spans="1:9" x14ac:dyDescent="0.2">
      <c r="A227" s="10">
        <v>22815</v>
      </c>
      <c r="B227" s="11">
        <v>42850</v>
      </c>
      <c r="C227" s="12">
        <v>88.22</v>
      </c>
      <c r="D227" s="12">
        <v>6.72</v>
      </c>
      <c r="E227" s="17"/>
      <c r="F227" s="18"/>
      <c r="G227" s="19"/>
      <c r="H227" s="12"/>
      <c r="I227" s="10"/>
    </row>
    <row r="228" spans="1:9" x14ac:dyDescent="0.2">
      <c r="A228" s="10">
        <v>22816</v>
      </c>
      <c r="B228" s="11">
        <v>42850</v>
      </c>
      <c r="C228" s="12">
        <v>48.71</v>
      </c>
      <c r="D228" s="12">
        <v>3.71</v>
      </c>
      <c r="E228" s="17"/>
      <c r="I228" s="10"/>
    </row>
    <row r="229" spans="1:9" x14ac:dyDescent="0.2">
      <c r="A229" s="10">
        <v>22817</v>
      </c>
      <c r="B229" s="11">
        <v>42850</v>
      </c>
      <c r="C229" s="12">
        <v>114.2</v>
      </c>
      <c r="D229" s="12">
        <v>8.6999999999999993</v>
      </c>
      <c r="E229" s="15" t="s">
        <v>11</v>
      </c>
      <c r="F229" s="21"/>
      <c r="G229" s="22"/>
      <c r="H229" s="10"/>
      <c r="I229" s="10"/>
    </row>
    <row r="230" spans="1:9" x14ac:dyDescent="0.2">
      <c r="A230" s="10">
        <v>22818</v>
      </c>
      <c r="B230" s="11">
        <v>42850</v>
      </c>
      <c r="C230" s="12">
        <v>91.960000000000008</v>
      </c>
      <c r="D230" s="12">
        <v>7.01</v>
      </c>
      <c r="E230" s="15" t="s">
        <v>11</v>
      </c>
      <c r="I230" s="10"/>
    </row>
    <row r="231" spans="1:9" x14ac:dyDescent="0.2">
      <c r="A231" s="10">
        <v>22819</v>
      </c>
      <c r="B231" s="11">
        <v>42850</v>
      </c>
      <c r="C231" s="12">
        <v>16.239999999999998</v>
      </c>
      <c r="D231" s="12">
        <v>1.24</v>
      </c>
      <c r="E231" s="17"/>
      <c r="F231" s="18"/>
      <c r="G231" s="19"/>
      <c r="H231" s="12"/>
      <c r="I231" s="10"/>
    </row>
    <row r="232" spans="1:9" x14ac:dyDescent="0.2">
      <c r="A232" s="10">
        <v>22820</v>
      </c>
      <c r="B232" s="11">
        <v>42850</v>
      </c>
      <c r="C232" s="12">
        <v>58.46</v>
      </c>
      <c r="D232" s="12">
        <v>4.46</v>
      </c>
      <c r="E232" s="15" t="s">
        <v>11</v>
      </c>
      <c r="F232" s="21"/>
      <c r="G232" s="22"/>
      <c r="H232" s="10"/>
      <c r="I232" s="10"/>
    </row>
    <row r="233" spans="1:9" x14ac:dyDescent="0.2">
      <c r="A233" s="10">
        <v>22821</v>
      </c>
      <c r="B233" s="11">
        <v>42850</v>
      </c>
      <c r="C233" s="12">
        <v>21.65</v>
      </c>
      <c r="D233" s="12">
        <v>1.65</v>
      </c>
      <c r="E233" s="17"/>
      <c r="I233" s="10"/>
    </row>
    <row r="234" spans="1:9" x14ac:dyDescent="0.2">
      <c r="A234" s="10">
        <v>22822</v>
      </c>
      <c r="B234" s="11">
        <v>42850</v>
      </c>
      <c r="C234" s="12">
        <v>21.11</v>
      </c>
      <c r="D234" s="12">
        <v>1.61</v>
      </c>
      <c r="E234" s="15" t="s">
        <v>7</v>
      </c>
      <c r="I234" s="10"/>
    </row>
    <row r="235" spans="1:9" x14ac:dyDescent="0.2">
      <c r="A235" s="10">
        <v>22823</v>
      </c>
      <c r="B235" s="11">
        <v>42850</v>
      </c>
      <c r="C235" s="12">
        <v>375</v>
      </c>
      <c r="D235" s="12">
        <v>28.58</v>
      </c>
      <c r="E235" s="17"/>
      <c r="I235" s="10"/>
    </row>
    <row r="236" spans="1:9" x14ac:dyDescent="0.2">
      <c r="A236" s="10">
        <v>22824</v>
      </c>
      <c r="B236" s="11">
        <v>42850</v>
      </c>
      <c r="C236" s="12">
        <v>80.11</v>
      </c>
      <c r="D236" s="12">
        <v>6.11</v>
      </c>
      <c r="E236" s="15" t="s">
        <v>11</v>
      </c>
      <c r="F236" s="134">
        <f>+C224+C230+C232+C234+C236</f>
        <v>380.46000000000004</v>
      </c>
      <c r="G236" s="123">
        <f>+F236*0.97831</f>
        <v>372.20782260000004</v>
      </c>
      <c r="H236" s="253"/>
      <c r="I236" s="10"/>
    </row>
    <row r="237" spans="1:9" x14ac:dyDescent="0.2">
      <c r="A237" s="10">
        <v>22825</v>
      </c>
      <c r="B237" s="11">
        <v>42851</v>
      </c>
      <c r="C237" s="12">
        <v>384.29</v>
      </c>
      <c r="D237" s="12">
        <v>29.29</v>
      </c>
      <c r="E237" s="15" t="s">
        <v>26</v>
      </c>
      <c r="I237" s="10"/>
    </row>
    <row r="238" spans="1:9" x14ac:dyDescent="0.2">
      <c r="A238" s="10">
        <v>22826</v>
      </c>
      <c r="B238" s="11">
        <v>42851</v>
      </c>
      <c r="C238" s="12">
        <v>7.5</v>
      </c>
      <c r="D238" s="12"/>
      <c r="E238" s="15" t="s">
        <v>10</v>
      </c>
      <c r="I238" s="10"/>
    </row>
    <row r="239" spans="1:9" x14ac:dyDescent="0.2">
      <c r="A239" s="10">
        <v>22827</v>
      </c>
      <c r="B239" s="11">
        <v>42851</v>
      </c>
      <c r="C239" s="12">
        <v>691.72</v>
      </c>
      <c r="D239" s="12">
        <v>52.72</v>
      </c>
      <c r="E239" s="13"/>
      <c r="I239" s="10"/>
    </row>
    <row r="240" spans="1:9" x14ac:dyDescent="0.2">
      <c r="A240" s="10">
        <v>22828</v>
      </c>
      <c r="B240" s="11">
        <v>42851</v>
      </c>
      <c r="C240" s="12">
        <v>74.69</v>
      </c>
      <c r="D240" s="12">
        <v>5.69</v>
      </c>
      <c r="E240" s="15" t="s">
        <v>11</v>
      </c>
      <c r="I240" s="10"/>
    </row>
    <row r="241" spans="1:9" x14ac:dyDescent="0.2">
      <c r="A241" s="10">
        <v>22829</v>
      </c>
      <c r="B241" s="11">
        <v>42851</v>
      </c>
      <c r="C241" s="12">
        <v>122</v>
      </c>
      <c r="D241" s="12">
        <v>9.3000000000000007</v>
      </c>
      <c r="E241" s="17"/>
      <c r="I241" s="10"/>
    </row>
    <row r="242" spans="1:9" x14ac:dyDescent="0.2">
      <c r="A242" s="10">
        <v>22830</v>
      </c>
      <c r="B242" s="11">
        <v>42851</v>
      </c>
      <c r="C242" s="12">
        <v>555.32000000000005</v>
      </c>
      <c r="D242" s="12">
        <v>42.32</v>
      </c>
      <c r="E242" s="15" t="s">
        <v>1004</v>
      </c>
      <c r="F242" s="21"/>
      <c r="G242" s="22"/>
      <c r="H242" s="10"/>
      <c r="I242" s="10"/>
    </row>
    <row r="243" spans="1:9" x14ac:dyDescent="0.2">
      <c r="A243" s="10">
        <v>22831</v>
      </c>
      <c r="B243" s="11">
        <v>42851</v>
      </c>
      <c r="C243" s="12">
        <v>35.799999999999997</v>
      </c>
      <c r="D243" s="12"/>
      <c r="E243" s="15" t="s">
        <v>17</v>
      </c>
      <c r="I243" s="10"/>
    </row>
    <row r="244" spans="1:9" x14ac:dyDescent="0.2">
      <c r="A244" s="10">
        <v>22832</v>
      </c>
      <c r="B244" s="11">
        <v>42851</v>
      </c>
      <c r="C244" s="12">
        <v>156.96</v>
      </c>
      <c r="D244" s="12">
        <v>11.96</v>
      </c>
      <c r="E244" s="15" t="s">
        <v>11</v>
      </c>
      <c r="I244" s="10"/>
    </row>
    <row r="245" spans="1:9" x14ac:dyDescent="0.2">
      <c r="A245" s="10">
        <v>22833</v>
      </c>
      <c r="B245" s="11">
        <v>42851</v>
      </c>
      <c r="C245" s="12">
        <v>473</v>
      </c>
      <c r="D245" s="12">
        <v>36.049999999999997</v>
      </c>
      <c r="E245" s="13" t="s">
        <v>1005</v>
      </c>
      <c r="I245" s="10"/>
    </row>
    <row r="246" spans="1:9" x14ac:dyDescent="0.2">
      <c r="A246" s="10">
        <v>22834</v>
      </c>
      <c r="B246" s="11">
        <v>42851</v>
      </c>
      <c r="C246" s="12">
        <v>190.52</v>
      </c>
      <c r="D246" s="12">
        <v>14.52</v>
      </c>
      <c r="E246" s="15" t="s">
        <v>11</v>
      </c>
      <c r="I246" s="10"/>
    </row>
    <row r="247" spans="1:9" x14ac:dyDescent="0.2">
      <c r="A247" s="10">
        <v>22835</v>
      </c>
      <c r="B247" s="11">
        <v>42851</v>
      </c>
      <c r="C247" s="12">
        <v>18.399999999999999</v>
      </c>
      <c r="D247" s="12">
        <v>1.4</v>
      </c>
      <c r="E247" s="15" t="s">
        <v>11</v>
      </c>
      <c r="I247" s="10"/>
    </row>
    <row r="248" spans="1:9" x14ac:dyDescent="0.2">
      <c r="A248" s="10">
        <v>22836</v>
      </c>
      <c r="B248" s="11">
        <v>42851</v>
      </c>
      <c r="C248" s="12">
        <v>25</v>
      </c>
      <c r="D248" s="12">
        <v>1.91</v>
      </c>
      <c r="E248" s="15" t="s">
        <v>11</v>
      </c>
      <c r="I248" s="10"/>
    </row>
    <row r="249" spans="1:9" x14ac:dyDescent="0.2">
      <c r="A249" s="10">
        <v>22837</v>
      </c>
      <c r="B249" s="11">
        <v>42851</v>
      </c>
      <c r="C249" s="12">
        <v>31.849999999999998</v>
      </c>
      <c r="D249" s="12"/>
      <c r="E249" s="13" t="s">
        <v>869</v>
      </c>
      <c r="F249" s="134">
        <f>+C229+C240+C244+C247+C248+75</f>
        <v>464.25</v>
      </c>
      <c r="G249" s="123">
        <f>+F249*0.97831</f>
        <v>454.18041750000003</v>
      </c>
      <c r="H249" s="253"/>
      <c r="I249" s="10"/>
    </row>
    <row r="250" spans="1:9" x14ac:dyDescent="0.2">
      <c r="A250" s="10">
        <v>22838</v>
      </c>
      <c r="B250" s="11">
        <v>42852</v>
      </c>
      <c r="C250" s="12">
        <v>410</v>
      </c>
      <c r="D250" s="12">
        <v>31.25</v>
      </c>
      <c r="E250" s="13" t="s">
        <v>1006</v>
      </c>
      <c r="I250" s="10"/>
    </row>
    <row r="251" spans="1:9" x14ac:dyDescent="0.2">
      <c r="A251" s="10">
        <v>22839</v>
      </c>
      <c r="B251" s="11">
        <v>42852</v>
      </c>
      <c r="C251" s="12">
        <v>21.599999999999998</v>
      </c>
      <c r="D251" s="12">
        <v>1.65</v>
      </c>
      <c r="E251" s="15" t="s">
        <v>11</v>
      </c>
      <c r="F251" s="21"/>
      <c r="G251" s="22"/>
      <c r="H251" s="10"/>
      <c r="I251" s="10"/>
    </row>
    <row r="252" spans="1:9" x14ac:dyDescent="0.2">
      <c r="A252" s="10">
        <v>22840</v>
      </c>
      <c r="B252" s="11">
        <v>42852</v>
      </c>
      <c r="C252" s="12">
        <v>2.44</v>
      </c>
      <c r="D252" s="12">
        <v>0.19</v>
      </c>
      <c r="E252" s="17"/>
      <c r="F252" s="18"/>
      <c r="G252" s="19"/>
      <c r="H252" s="12"/>
      <c r="I252" s="10"/>
    </row>
    <row r="253" spans="1:9" x14ac:dyDescent="0.2">
      <c r="A253" s="10">
        <v>22841</v>
      </c>
      <c r="B253" s="11">
        <v>42852</v>
      </c>
      <c r="C253" s="12">
        <v>167.73</v>
      </c>
      <c r="D253" s="12">
        <v>12.78</v>
      </c>
      <c r="E253" s="17"/>
      <c r="F253" s="46"/>
      <c r="I253" s="10"/>
    </row>
    <row r="254" spans="1:9" x14ac:dyDescent="0.2">
      <c r="A254" s="10">
        <v>22842</v>
      </c>
      <c r="B254" s="11">
        <v>42852</v>
      </c>
      <c r="C254" s="12">
        <v>106.09</v>
      </c>
      <c r="D254" s="12">
        <v>8.09</v>
      </c>
      <c r="E254" s="15" t="s">
        <v>11</v>
      </c>
      <c r="F254" s="134">
        <f>+C243+C251+C254</f>
        <v>163.49</v>
      </c>
      <c r="G254" s="123">
        <f>+F254*0.97831</f>
        <v>159.94390190000001</v>
      </c>
      <c r="H254" s="253" t="s">
        <v>1007</v>
      </c>
      <c r="I254" s="10"/>
    </row>
    <row r="255" spans="1:9" x14ac:dyDescent="0.2">
      <c r="A255" s="10">
        <v>22843</v>
      </c>
      <c r="B255" s="11">
        <v>42853</v>
      </c>
      <c r="C255" s="12">
        <v>128.5</v>
      </c>
      <c r="D255" s="12"/>
      <c r="E255" s="15" t="s">
        <v>363</v>
      </c>
      <c r="F255" s="21"/>
      <c r="G255" s="22"/>
      <c r="H255" s="10"/>
      <c r="I255" s="10"/>
    </row>
    <row r="256" spans="1:9" x14ac:dyDescent="0.2">
      <c r="A256" s="10">
        <v>22844</v>
      </c>
      <c r="B256" s="11">
        <v>42853</v>
      </c>
      <c r="C256" s="12">
        <v>16.77</v>
      </c>
      <c r="D256" s="12">
        <v>1.28</v>
      </c>
      <c r="E256" s="15" t="s">
        <v>11</v>
      </c>
      <c r="F256" s="21"/>
      <c r="G256" s="22"/>
      <c r="H256" s="10"/>
      <c r="I256" s="10"/>
    </row>
    <row r="257" spans="1:9" x14ac:dyDescent="0.2">
      <c r="A257" s="10">
        <v>22845</v>
      </c>
      <c r="B257" s="11">
        <v>42853</v>
      </c>
      <c r="C257" s="12">
        <v>10.83</v>
      </c>
      <c r="D257" s="12">
        <v>0.83</v>
      </c>
      <c r="E257" s="13"/>
      <c r="F257" s="18"/>
      <c r="G257" s="19"/>
      <c r="H257" s="12"/>
      <c r="I257" s="10"/>
    </row>
    <row r="258" spans="1:9" x14ac:dyDescent="0.2">
      <c r="A258" s="10">
        <v>22846</v>
      </c>
      <c r="B258" s="11">
        <v>42853</v>
      </c>
      <c r="C258" s="12">
        <v>265</v>
      </c>
      <c r="D258" s="12">
        <v>20.2</v>
      </c>
      <c r="E258" s="17"/>
      <c r="I258" s="10"/>
    </row>
    <row r="259" spans="1:9" x14ac:dyDescent="0.2">
      <c r="A259" s="10">
        <v>22847</v>
      </c>
      <c r="B259" s="11">
        <v>42853</v>
      </c>
      <c r="C259" s="12">
        <v>352.9</v>
      </c>
      <c r="D259" s="12">
        <v>26.9</v>
      </c>
      <c r="E259" s="15" t="s">
        <v>11</v>
      </c>
      <c r="I259" s="10"/>
    </row>
    <row r="260" spans="1:9" x14ac:dyDescent="0.2">
      <c r="A260" s="10">
        <v>22848</v>
      </c>
      <c r="B260" s="11">
        <v>42853</v>
      </c>
      <c r="C260" s="12">
        <v>262.5</v>
      </c>
      <c r="D260" s="12"/>
      <c r="E260" s="15" t="s">
        <v>1008</v>
      </c>
      <c r="I260" s="10"/>
    </row>
    <row r="261" spans="1:9" x14ac:dyDescent="0.2">
      <c r="A261" s="10">
        <v>22849</v>
      </c>
      <c r="B261" s="11">
        <v>42853</v>
      </c>
      <c r="C261" s="12">
        <v>160</v>
      </c>
      <c r="D261" s="12">
        <v>12.19</v>
      </c>
      <c r="E261" s="17"/>
      <c r="I261" s="10"/>
    </row>
    <row r="262" spans="1:9" x14ac:dyDescent="0.2">
      <c r="A262" s="10">
        <v>22850</v>
      </c>
      <c r="B262" s="11">
        <v>42853</v>
      </c>
      <c r="C262" s="12">
        <v>173.2</v>
      </c>
      <c r="D262" s="12">
        <v>13.2</v>
      </c>
      <c r="E262" s="15" t="s">
        <v>7</v>
      </c>
      <c r="F262" s="134">
        <f>+C246+C256+C259+C262</f>
        <v>733.3900000000001</v>
      </c>
      <c r="G262" s="123">
        <f>+F262*0.97831</f>
        <v>717.48277090000011</v>
      </c>
      <c r="H262" s="253"/>
      <c r="I262" s="10"/>
    </row>
    <row r="263" spans="1:9" x14ac:dyDescent="0.2">
      <c r="A263" s="10">
        <v>22851</v>
      </c>
      <c r="B263" s="11">
        <v>42854</v>
      </c>
      <c r="C263" s="12">
        <v>106.09</v>
      </c>
      <c r="D263" s="12">
        <v>8.09</v>
      </c>
      <c r="E263" s="15" t="s">
        <v>21</v>
      </c>
      <c r="F263" s="202"/>
      <c r="G263" s="202"/>
      <c r="H263" s="10"/>
      <c r="I263" s="10"/>
    </row>
    <row r="264" spans="1:9" x14ac:dyDescent="0.2">
      <c r="A264" s="10">
        <v>22852</v>
      </c>
      <c r="B264" s="11">
        <v>42854</v>
      </c>
      <c r="C264" s="12">
        <v>120</v>
      </c>
      <c r="D264" s="12">
        <v>9.15</v>
      </c>
      <c r="E264" s="15" t="s">
        <v>533</v>
      </c>
      <c r="F264" s="202"/>
      <c r="G264" s="202"/>
      <c r="H264" s="10"/>
      <c r="I264" s="10"/>
    </row>
    <row r="265" spans="1:9" x14ac:dyDescent="0.2">
      <c r="A265" s="10">
        <v>22853</v>
      </c>
      <c r="B265" s="11">
        <v>42854</v>
      </c>
      <c r="C265" s="12">
        <v>239.77</v>
      </c>
      <c r="D265" s="12">
        <v>18.27</v>
      </c>
      <c r="E265" s="15" t="s">
        <v>533</v>
      </c>
      <c r="F265" s="202"/>
      <c r="G265" s="202"/>
      <c r="H265" s="10"/>
      <c r="I265" s="10"/>
    </row>
    <row r="266" spans="1:9" x14ac:dyDescent="0.2">
      <c r="A266" s="10">
        <v>22854</v>
      </c>
      <c r="B266" s="11">
        <v>42854</v>
      </c>
      <c r="C266" s="12">
        <v>140.72999999999999</v>
      </c>
      <c r="D266" s="12">
        <v>10.73</v>
      </c>
      <c r="E266" s="15" t="s">
        <v>533</v>
      </c>
      <c r="I266" s="10"/>
    </row>
    <row r="267" spans="1:9" x14ac:dyDescent="0.2">
      <c r="A267" s="10">
        <v>22855</v>
      </c>
      <c r="B267" s="11">
        <v>42854</v>
      </c>
      <c r="C267" s="12">
        <v>312.83999999999997</v>
      </c>
      <c r="D267" s="12">
        <v>23.84</v>
      </c>
      <c r="E267" s="15" t="s">
        <v>1009</v>
      </c>
      <c r="I267" s="10"/>
    </row>
    <row r="268" spans="1:9" x14ac:dyDescent="0.2">
      <c r="A268" s="10">
        <v>22856</v>
      </c>
      <c r="B268" s="11">
        <v>42854</v>
      </c>
      <c r="C268" s="12">
        <v>383.21</v>
      </c>
      <c r="D268" s="12">
        <v>29.21</v>
      </c>
      <c r="E268" s="15" t="s">
        <v>21</v>
      </c>
      <c r="I268" s="10"/>
    </row>
    <row r="269" spans="1:9" x14ac:dyDescent="0.2">
      <c r="A269" s="10">
        <v>22857</v>
      </c>
      <c r="B269" s="11">
        <v>42854</v>
      </c>
      <c r="C269" s="12">
        <v>213.79</v>
      </c>
      <c r="D269" s="12">
        <v>16.29</v>
      </c>
      <c r="E269" s="15" t="s">
        <v>533</v>
      </c>
      <c r="F269" s="21"/>
      <c r="G269" s="22"/>
      <c r="H269" s="10"/>
      <c r="I269" s="10"/>
    </row>
    <row r="270" spans="1:9" x14ac:dyDescent="0.2">
      <c r="A270" s="10">
        <v>22858</v>
      </c>
      <c r="B270" s="11">
        <v>42854</v>
      </c>
      <c r="C270" s="12">
        <v>5.36</v>
      </c>
      <c r="D270" s="12">
        <v>0.41</v>
      </c>
      <c r="E270" s="15" t="s">
        <v>11</v>
      </c>
      <c r="I270" s="10"/>
    </row>
    <row r="271" spans="1:9" x14ac:dyDescent="0.2">
      <c r="A271" s="10">
        <v>22859</v>
      </c>
      <c r="B271" s="11">
        <v>42854</v>
      </c>
      <c r="C271" s="12">
        <v>495</v>
      </c>
      <c r="D271" s="12">
        <v>37.72</v>
      </c>
      <c r="E271" s="13" t="s">
        <v>1010</v>
      </c>
      <c r="F271" s="18"/>
      <c r="G271" s="19"/>
      <c r="H271" s="12"/>
      <c r="I271" s="10"/>
    </row>
    <row r="272" spans="1:9" x14ac:dyDescent="0.2">
      <c r="A272" s="10">
        <v>22860</v>
      </c>
      <c r="B272" s="11">
        <v>42854</v>
      </c>
      <c r="C272" s="12">
        <v>6.5</v>
      </c>
      <c r="D272" s="12"/>
      <c r="E272" s="15" t="s">
        <v>1011</v>
      </c>
      <c r="I272" s="10"/>
    </row>
    <row r="273" spans="1:11" x14ac:dyDescent="0.2">
      <c r="A273" s="10">
        <v>22861</v>
      </c>
      <c r="B273" s="11">
        <v>42854</v>
      </c>
      <c r="C273" s="12">
        <v>5.41</v>
      </c>
      <c r="D273" s="12">
        <v>0.41</v>
      </c>
      <c r="E273" s="15" t="s">
        <v>11</v>
      </c>
      <c r="F273" s="134">
        <f>99.79+200+C270+C273+18</f>
        <v>328.56000000000006</v>
      </c>
      <c r="G273" s="123">
        <f>+F273*0.97831</f>
        <v>321.43353360000009</v>
      </c>
      <c r="H273" s="253" t="s">
        <v>1012</v>
      </c>
      <c r="I273" s="10"/>
    </row>
    <row r="274" spans="1:11" x14ac:dyDescent="0.2">
      <c r="E274" s="26"/>
      <c r="G274" s="77"/>
      <c r="H274" s="183"/>
    </row>
    <row r="275" spans="1:11" x14ac:dyDescent="0.2">
      <c r="E275" s="26"/>
      <c r="G275" s="77"/>
      <c r="H275" s="185"/>
      <c r="I275" s="219"/>
      <c r="J275" s="220"/>
      <c r="K275" s="220"/>
    </row>
    <row r="276" spans="1:11" x14ac:dyDescent="0.2">
      <c r="E276" s="26"/>
      <c r="G276" s="77"/>
      <c r="H276" s="185"/>
      <c r="I276" s="219"/>
      <c r="J276" s="220"/>
      <c r="K276" s="220"/>
    </row>
    <row r="277" spans="1:11" x14ac:dyDescent="0.2">
      <c r="E277" s="26"/>
      <c r="G277" s="77"/>
      <c r="H277" s="183"/>
      <c r="I277" s="219"/>
      <c r="J277" s="220"/>
      <c r="K277" s="220"/>
    </row>
    <row r="278" spans="1:11" x14ac:dyDescent="0.2">
      <c r="E278" s="26"/>
      <c r="G278" s="77"/>
      <c r="H278" s="183"/>
      <c r="I278" s="219"/>
      <c r="J278" s="220"/>
    </row>
    <row r="279" spans="1:11" x14ac:dyDescent="0.2">
      <c r="E279" s="26"/>
      <c r="G279" s="77"/>
      <c r="H279" s="185"/>
      <c r="I279" s="219"/>
      <c r="J279" s="220"/>
    </row>
    <row r="280" spans="1:11" x14ac:dyDescent="0.2">
      <c r="E280" s="26"/>
      <c r="G280" s="77"/>
      <c r="H280" s="185"/>
      <c r="I280" s="219"/>
      <c r="J280" s="220"/>
    </row>
    <row r="281" spans="1:11" x14ac:dyDescent="0.2">
      <c r="E281" s="26"/>
      <c r="G281" s="77"/>
      <c r="H281" s="183"/>
      <c r="I281" s="219"/>
      <c r="J281" s="220"/>
      <c r="K281" s="220"/>
    </row>
    <row r="282" spans="1:11" x14ac:dyDescent="0.2">
      <c r="E282" s="26"/>
      <c r="G282" s="77"/>
      <c r="H282" s="185"/>
      <c r="I282" s="219"/>
      <c r="J282" s="220"/>
      <c r="K282" s="220"/>
    </row>
    <row r="283" spans="1:11" x14ac:dyDescent="0.2">
      <c r="E283" s="26"/>
      <c r="G283" s="77"/>
      <c r="H283" s="185"/>
      <c r="I283" s="219"/>
      <c r="J283" s="220"/>
      <c r="K283" s="220"/>
    </row>
    <row r="284" spans="1:11" x14ac:dyDescent="0.2">
      <c r="E284" s="26"/>
      <c r="G284" s="77"/>
      <c r="H284" s="185"/>
      <c r="I284" s="219"/>
      <c r="J284" s="220"/>
      <c r="K284" s="220"/>
    </row>
    <row r="285" spans="1:11" x14ac:dyDescent="0.2">
      <c r="E285" s="26"/>
      <c r="G285" s="77"/>
      <c r="H285" s="185"/>
      <c r="I285" s="219"/>
      <c r="J285" s="220"/>
      <c r="K285" s="220"/>
    </row>
    <row r="286" spans="1:11" x14ac:dyDescent="0.2">
      <c r="E286" s="26"/>
      <c r="G286" s="77"/>
      <c r="H286" s="185"/>
      <c r="I286" s="219"/>
      <c r="J286" s="220"/>
      <c r="K286" s="220"/>
    </row>
    <row r="287" spans="1:11" x14ac:dyDescent="0.2">
      <c r="E287" s="26"/>
      <c r="G287" s="77"/>
      <c r="H287" s="185"/>
      <c r="I287" s="219"/>
      <c r="J287" s="220"/>
      <c r="K287" s="220"/>
    </row>
    <row r="288" spans="1:11" x14ac:dyDescent="0.2">
      <c r="E288" s="26"/>
      <c r="G288" s="77"/>
      <c r="H288" s="85"/>
      <c r="I288" s="219"/>
      <c r="J288" s="220"/>
      <c r="K288" s="220"/>
    </row>
    <row r="289" spans="5:11" x14ac:dyDescent="0.2">
      <c r="E289" s="26"/>
      <c r="G289" s="77"/>
      <c r="H289" s="85"/>
      <c r="I289" s="77"/>
      <c r="J289" s="77"/>
      <c r="K289" s="77"/>
    </row>
    <row r="290" spans="5:11" x14ac:dyDescent="0.2">
      <c r="E290" s="26"/>
      <c r="G290" s="77"/>
      <c r="H290" s="85"/>
      <c r="I290" s="77"/>
      <c r="J290" s="77"/>
      <c r="K290" s="77"/>
    </row>
    <row r="291" spans="5:11" x14ac:dyDescent="0.2">
      <c r="E291" s="26"/>
      <c r="G291" s="77"/>
      <c r="H291" s="85"/>
      <c r="I291" s="77"/>
      <c r="J291" s="77"/>
      <c r="K291" s="77"/>
    </row>
    <row r="292" spans="5:11" x14ac:dyDescent="0.2">
      <c r="E292" s="26"/>
      <c r="G292" s="77"/>
      <c r="H292" s="85"/>
      <c r="I292" s="77"/>
      <c r="J292" s="77"/>
      <c r="K292" s="77"/>
    </row>
    <row r="293" spans="5:11" x14ac:dyDescent="0.2">
      <c r="E293" s="26"/>
    </row>
    <row r="294" spans="5:11" x14ac:dyDescent="0.2">
      <c r="E294" s="26"/>
    </row>
    <row r="295" spans="5:11" x14ac:dyDescent="0.2">
      <c r="E295" s="26"/>
    </row>
    <row r="296" spans="5:11" x14ac:dyDescent="0.2">
      <c r="E296" s="26"/>
    </row>
    <row r="297" spans="5:11" x14ac:dyDescent="0.2">
      <c r="E297" s="26"/>
    </row>
    <row r="298" spans="5:11" x14ac:dyDescent="0.2">
      <c r="E298" s="26"/>
    </row>
    <row r="299" spans="5:11" x14ac:dyDescent="0.2">
      <c r="E299" s="26"/>
    </row>
    <row r="300" spans="5:11" x14ac:dyDescent="0.2">
      <c r="E300" s="26"/>
    </row>
    <row r="301" spans="5:11" x14ac:dyDescent="0.2">
      <c r="E301" s="26"/>
    </row>
    <row r="302" spans="5:11" x14ac:dyDescent="0.2">
      <c r="E302" s="26"/>
    </row>
    <row r="303" spans="5:11" x14ac:dyDescent="0.2">
      <c r="E303" s="26"/>
    </row>
    <row r="304" spans="5:11" x14ac:dyDescent="0.2">
      <c r="E304" s="26"/>
    </row>
    <row r="305" spans="1:10" x14ac:dyDescent="0.2">
      <c r="E305" s="26"/>
    </row>
    <row r="306" spans="1:10" x14ac:dyDescent="0.2">
      <c r="E306" s="26"/>
    </row>
    <row r="307" spans="1:10" x14ac:dyDescent="0.2">
      <c r="E307" s="26"/>
    </row>
    <row r="308" spans="1:10" x14ac:dyDescent="0.2">
      <c r="E308" s="26"/>
    </row>
    <row r="309" spans="1:10" s="29" customFormat="1" x14ac:dyDescent="0.2">
      <c r="A309" s="4"/>
      <c r="B309" s="11"/>
      <c r="C309" s="25"/>
      <c r="D309" s="4"/>
      <c r="E309" s="26"/>
      <c r="F309" s="4"/>
      <c r="G309" s="4"/>
      <c r="H309" s="25"/>
      <c r="I309" s="4"/>
      <c r="J309" s="4"/>
    </row>
    <row r="310" spans="1:10" s="29" customFormat="1" x14ac:dyDescent="0.2">
      <c r="A310" s="4"/>
      <c r="B310" s="11"/>
      <c r="C310" s="25"/>
      <c r="D310" s="4"/>
      <c r="E310" s="26"/>
      <c r="F310" s="4"/>
      <c r="G310" s="4"/>
      <c r="H310" s="25"/>
      <c r="I310" s="4"/>
      <c r="J310" s="4"/>
    </row>
    <row r="311" spans="1:10" x14ac:dyDescent="0.2">
      <c r="E311" s="26"/>
    </row>
    <row r="312" spans="1:10" x14ac:dyDescent="0.2">
      <c r="A312" s="29"/>
      <c r="B312" s="30"/>
      <c r="C312" s="31"/>
      <c r="D312" s="29"/>
      <c r="E312" s="32"/>
      <c r="F312" s="29"/>
      <c r="G312" s="29"/>
      <c r="H312" s="31"/>
      <c r="I312" s="29"/>
      <c r="J312" s="29"/>
    </row>
    <row r="313" spans="1:10" x14ac:dyDescent="0.2">
      <c r="A313" s="29"/>
      <c r="B313" s="30"/>
      <c r="C313" s="31"/>
      <c r="D313" s="29"/>
      <c r="E313" s="32"/>
      <c r="F313" s="29"/>
      <c r="G313" s="29"/>
      <c r="H313" s="31"/>
      <c r="I313" s="29"/>
      <c r="J313" s="29"/>
    </row>
    <row r="314" spans="1:10" x14ac:dyDescent="0.2">
      <c r="E314" s="26"/>
    </row>
    <row r="315" spans="1:10" x14ac:dyDescent="0.2">
      <c r="E315" s="26"/>
    </row>
    <row r="316" spans="1:10" x14ac:dyDescent="0.2">
      <c r="E316" s="26"/>
    </row>
    <row r="317" spans="1:10" x14ac:dyDescent="0.2">
      <c r="E317" s="26"/>
    </row>
    <row r="318" spans="1:10" x14ac:dyDescent="0.2">
      <c r="E318" s="26"/>
    </row>
    <row r="319" spans="1:10" x14ac:dyDescent="0.2">
      <c r="E319" s="26"/>
    </row>
    <row r="320" spans="1:10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3279"/>
  <sheetViews>
    <sheetView topLeftCell="A216" workbookViewId="0">
      <selection activeCell="A264" sqref="A264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28515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60" t="s">
        <v>0</v>
      </c>
      <c r="B1" s="2"/>
      <c r="C1" s="3">
        <f>SUM(C3:C461)</f>
        <v>33048.714700000011</v>
      </c>
      <c r="D1" s="3">
        <f>SUM(D3:D461)</f>
        <v>1985.1147000000003</v>
      </c>
      <c r="F1" s="166">
        <f>SUM(F3:F5032)</f>
        <v>10729.26345</v>
      </c>
      <c r="G1" s="166">
        <f>SUM(G3:G5032)</f>
        <v>10496.545725769502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s="8" customFormat="1" x14ac:dyDescent="0.2">
      <c r="A3" s="10">
        <v>22862</v>
      </c>
      <c r="B3" s="11">
        <v>42856</v>
      </c>
      <c r="C3" s="12">
        <v>7</v>
      </c>
      <c r="D3" s="12">
        <v>0.53</v>
      </c>
      <c r="E3" s="12"/>
      <c r="F3" s="12"/>
      <c r="G3" s="12"/>
      <c r="H3" s="12"/>
    </row>
    <row r="4" spans="1:10" s="8" customFormat="1" x14ac:dyDescent="0.2">
      <c r="A4" s="10">
        <v>22863</v>
      </c>
      <c r="B4" s="11">
        <v>42856</v>
      </c>
      <c r="C4" s="12">
        <v>257.48</v>
      </c>
      <c r="D4" s="12">
        <v>10.48</v>
      </c>
      <c r="E4" s="15" t="s">
        <v>11</v>
      </c>
      <c r="F4" s="10"/>
      <c r="G4" s="10"/>
      <c r="H4" s="10"/>
      <c r="I4" s="16"/>
    </row>
    <row r="5" spans="1:10" s="8" customFormat="1" x14ac:dyDescent="0.2">
      <c r="A5" s="10">
        <v>22864</v>
      </c>
      <c r="B5" s="11">
        <v>42856</v>
      </c>
      <c r="C5" s="12">
        <v>54.88</v>
      </c>
      <c r="D5" s="12">
        <v>4.18</v>
      </c>
      <c r="E5" s="15" t="s">
        <v>11</v>
      </c>
      <c r="F5" s="10"/>
      <c r="G5" s="10"/>
      <c r="H5" s="10"/>
      <c r="I5" s="16"/>
    </row>
    <row r="6" spans="1:10" s="8" customFormat="1" x14ac:dyDescent="0.2">
      <c r="A6" s="10">
        <v>22865</v>
      </c>
      <c r="B6" s="11">
        <v>42856</v>
      </c>
      <c r="C6" s="12">
        <v>195.25</v>
      </c>
      <c r="D6" s="12"/>
      <c r="E6" s="15" t="s">
        <v>60</v>
      </c>
      <c r="F6" s="10"/>
      <c r="G6" s="10"/>
      <c r="H6" s="10"/>
      <c r="I6" s="16"/>
    </row>
    <row r="7" spans="1:10" s="8" customFormat="1" x14ac:dyDescent="0.2">
      <c r="A7" s="10">
        <v>22866</v>
      </c>
      <c r="B7" s="11">
        <v>42856</v>
      </c>
      <c r="C7" s="12">
        <v>35.15</v>
      </c>
      <c r="D7" s="12">
        <v>1.1499999999999999</v>
      </c>
      <c r="E7" s="15" t="s">
        <v>11</v>
      </c>
      <c r="F7" s="10"/>
      <c r="G7" s="10"/>
      <c r="H7" s="10"/>
      <c r="I7" s="16"/>
    </row>
    <row r="8" spans="1:10" s="8" customFormat="1" x14ac:dyDescent="0.2">
      <c r="A8" s="10">
        <v>22867</v>
      </c>
      <c r="B8" s="11">
        <v>42856</v>
      </c>
      <c r="C8" s="12">
        <v>13</v>
      </c>
      <c r="D8" s="12"/>
      <c r="E8" s="15" t="s">
        <v>60</v>
      </c>
      <c r="F8" s="10"/>
      <c r="G8" s="10"/>
      <c r="H8" s="10"/>
      <c r="I8" s="16"/>
    </row>
    <row r="9" spans="1:10" s="8" customFormat="1" x14ac:dyDescent="0.2">
      <c r="A9" s="10">
        <v>22868</v>
      </c>
      <c r="B9" s="11">
        <v>42856</v>
      </c>
      <c r="C9" s="12">
        <v>47</v>
      </c>
      <c r="D9" s="12"/>
      <c r="E9" s="15" t="s">
        <v>60</v>
      </c>
      <c r="F9" s="10"/>
      <c r="G9" s="10"/>
      <c r="H9" s="10"/>
      <c r="I9" s="16"/>
    </row>
    <row r="10" spans="1:10" s="8" customFormat="1" x14ac:dyDescent="0.2">
      <c r="A10" s="10">
        <v>22869</v>
      </c>
      <c r="B10" s="11">
        <v>42856</v>
      </c>
      <c r="C10" s="12">
        <v>74.69</v>
      </c>
      <c r="D10" s="12">
        <v>5.69</v>
      </c>
      <c r="E10" s="13"/>
      <c r="F10" s="12"/>
      <c r="G10" s="12"/>
      <c r="H10" s="12"/>
      <c r="I10" s="16"/>
    </row>
    <row r="11" spans="1:10" s="8" customFormat="1" x14ac:dyDescent="0.2">
      <c r="A11" s="10">
        <v>22870</v>
      </c>
      <c r="B11" s="11">
        <v>42856</v>
      </c>
      <c r="C11" s="12">
        <v>226.78</v>
      </c>
      <c r="D11" s="12">
        <v>17.28</v>
      </c>
      <c r="E11" s="15"/>
      <c r="F11" s="10"/>
      <c r="G11" s="10"/>
      <c r="H11" s="10"/>
      <c r="I11" s="16"/>
    </row>
    <row r="12" spans="1:10" s="8" customFormat="1" x14ac:dyDescent="0.2">
      <c r="A12" s="10">
        <v>22871</v>
      </c>
      <c r="B12" s="11">
        <v>42856</v>
      </c>
      <c r="C12" s="12">
        <v>183</v>
      </c>
      <c r="D12" s="12"/>
      <c r="E12" s="15" t="s">
        <v>869</v>
      </c>
      <c r="I12" s="16"/>
    </row>
    <row r="13" spans="1:10" s="8" customFormat="1" x14ac:dyDescent="0.2">
      <c r="A13" s="10">
        <v>22872</v>
      </c>
      <c r="B13" s="11">
        <v>42856</v>
      </c>
      <c r="C13" s="12">
        <v>18</v>
      </c>
      <c r="D13" s="12">
        <v>1.37</v>
      </c>
      <c r="E13" s="17"/>
      <c r="F13" s="18"/>
      <c r="G13" s="19"/>
      <c r="H13" s="12"/>
      <c r="I13" s="16"/>
    </row>
    <row r="14" spans="1:10" s="8" customFormat="1" x14ac:dyDescent="0.2">
      <c r="A14" s="10">
        <v>22873</v>
      </c>
      <c r="B14" s="11">
        <v>42856</v>
      </c>
      <c r="C14" s="12">
        <v>212.71</v>
      </c>
      <c r="D14" s="12">
        <v>16.21</v>
      </c>
      <c r="E14" s="15" t="s">
        <v>11</v>
      </c>
      <c r="F14" s="21"/>
      <c r="G14" s="22"/>
      <c r="H14" s="10"/>
      <c r="I14" s="16"/>
    </row>
    <row r="15" spans="1:10" s="8" customFormat="1" x14ac:dyDescent="0.2">
      <c r="A15" s="10">
        <v>22874</v>
      </c>
      <c r="B15" s="11">
        <v>42856</v>
      </c>
      <c r="C15" s="12">
        <v>372.92124999999999</v>
      </c>
      <c r="D15" s="12">
        <v>28.421250000000001</v>
      </c>
      <c r="E15" s="15" t="s">
        <v>309</v>
      </c>
      <c r="F15" s="134">
        <f>+C5+C7+C14+25+105+92.92+C4</f>
        <v>783.14</v>
      </c>
      <c r="G15" s="123">
        <f>+F15*0.97831</f>
        <v>766.15369339999995</v>
      </c>
      <c r="H15" s="253"/>
      <c r="I15" s="16"/>
    </row>
    <row r="16" spans="1:10" s="8" customFormat="1" x14ac:dyDescent="0.2">
      <c r="A16" s="10">
        <v>22875</v>
      </c>
      <c r="B16" s="11">
        <v>42857</v>
      </c>
      <c r="C16" s="12">
        <v>288.38000000000005</v>
      </c>
      <c r="D16" s="12">
        <v>21.98</v>
      </c>
      <c r="E16" s="15" t="s">
        <v>11</v>
      </c>
      <c r="F16" s="21"/>
      <c r="G16" s="22"/>
      <c r="H16" s="10"/>
      <c r="I16" s="16"/>
    </row>
    <row r="17" spans="1:9" s="8" customFormat="1" x14ac:dyDescent="0.2">
      <c r="A17" s="10">
        <v>22876</v>
      </c>
      <c r="B17" s="11">
        <v>42857</v>
      </c>
      <c r="C17" s="12">
        <v>13</v>
      </c>
      <c r="D17" s="12">
        <v>0.99</v>
      </c>
      <c r="E17" s="13"/>
      <c r="F17" s="18"/>
      <c r="G17" s="19"/>
      <c r="H17" s="12"/>
      <c r="I17" s="16"/>
    </row>
    <row r="18" spans="1:9" s="8" customFormat="1" x14ac:dyDescent="0.2">
      <c r="A18" s="10">
        <v>22877</v>
      </c>
      <c r="B18" s="11">
        <v>42857</v>
      </c>
      <c r="C18" s="12">
        <v>25.98</v>
      </c>
      <c r="D18" s="12">
        <v>1.98</v>
      </c>
      <c r="E18" s="13"/>
      <c r="F18" s="18"/>
      <c r="G18" s="19"/>
      <c r="H18" s="12"/>
      <c r="I18" s="16"/>
    </row>
    <row r="19" spans="1:9" s="8" customFormat="1" x14ac:dyDescent="0.2">
      <c r="A19" s="10">
        <v>22878</v>
      </c>
      <c r="B19" s="11">
        <v>42857</v>
      </c>
      <c r="C19" s="12">
        <v>37.89</v>
      </c>
      <c r="D19" s="12">
        <v>2.89</v>
      </c>
      <c r="E19" s="15" t="s">
        <v>11</v>
      </c>
      <c r="F19" s="21"/>
      <c r="G19" s="22"/>
      <c r="H19" s="10"/>
      <c r="I19" s="16"/>
    </row>
    <row r="20" spans="1:9" s="8" customFormat="1" x14ac:dyDescent="0.2">
      <c r="A20" s="10">
        <v>22879</v>
      </c>
      <c r="B20" s="11">
        <v>42857</v>
      </c>
      <c r="C20" s="12">
        <v>68</v>
      </c>
      <c r="D20" s="12">
        <v>5.18</v>
      </c>
      <c r="E20" s="13"/>
      <c r="F20" s="18"/>
      <c r="G20" s="19"/>
      <c r="H20" s="12"/>
      <c r="I20" s="16"/>
    </row>
    <row r="21" spans="1:9" s="8" customFormat="1" x14ac:dyDescent="0.2">
      <c r="A21" s="10">
        <v>22880</v>
      </c>
      <c r="B21" s="11">
        <v>42857</v>
      </c>
      <c r="C21" s="12">
        <v>64.95</v>
      </c>
      <c r="D21" s="12">
        <v>4.95</v>
      </c>
      <c r="E21" s="15" t="s">
        <v>1013</v>
      </c>
      <c r="I21" s="16"/>
    </row>
    <row r="22" spans="1:9" s="8" customFormat="1" x14ac:dyDescent="0.2">
      <c r="A22" s="10">
        <v>22881</v>
      </c>
      <c r="B22" s="11">
        <v>42857</v>
      </c>
      <c r="C22" s="12">
        <v>314</v>
      </c>
      <c r="D22" s="12"/>
      <c r="E22" s="15" t="s">
        <v>60</v>
      </c>
      <c r="I22" s="16"/>
    </row>
    <row r="23" spans="1:9" s="8" customFormat="1" x14ac:dyDescent="0.2">
      <c r="A23" s="10">
        <v>22882</v>
      </c>
      <c r="B23" s="11">
        <v>42857</v>
      </c>
      <c r="C23" s="12">
        <v>89</v>
      </c>
      <c r="D23" s="12"/>
      <c r="E23" s="15" t="s">
        <v>16</v>
      </c>
      <c r="F23" s="21"/>
      <c r="G23" s="22"/>
      <c r="H23" s="10"/>
      <c r="I23" s="16"/>
    </row>
    <row r="24" spans="1:9" s="8" customFormat="1" x14ac:dyDescent="0.2">
      <c r="A24" s="10">
        <v>22883</v>
      </c>
      <c r="B24" s="11">
        <v>42857</v>
      </c>
      <c r="C24" s="12">
        <v>43.25</v>
      </c>
      <c r="D24" s="12">
        <v>3.3</v>
      </c>
      <c r="E24" s="15" t="s">
        <v>1014</v>
      </c>
      <c r="I24" s="16"/>
    </row>
    <row r="25" spans="1:9" s="8" customFormat="1" x14ac:dyDescent="0.2">
      <c r="A25" s="10">
        <v>22884</v>
      </c>
      <c r="B25" s="11">
        <v>42857</v>
      </c>
      <c r="C25" s="12">
        <v>437.33</v>
      </c>
      <c r="D25" s="12">
        <v>33.33</v>
      </c>
      <c r="E25" s="15" t="s">
        <v>21</v>
      </c>
      <c r="F25" s="134">
        <f>+C16</f>
        <v>288.38000000000005</v>
      </c>
      <c r="G25" s="123">
        <f>+F25*0.97831</f>
        <v>282.12503780000003</v>
      </c>
      <c r="H25" s="253"/>
      <c r="I25" s="16"/>
    </row>
    <row r="26" spans="1:9" s="8" customFormat="1" x14ac:dyDescent="0.2">
      <c r="A26" s="10">
        <v>22885</v>
      </c>
      <c r="B26" s="11">
        <v>42858</v>
      </c>
      <c r="C26" s="12">
        <v>128</v>
      </c>
      <c r="D26" s="12">
        <v>9.76</v>
      </c>
      <c r="E26" s="13" t="s">
        <v>1015</v>
      </c>
      <c r="I26" s="16"/>
    </row>
    <row r="27" spans="1:9" s="8" customFormat="1" x14ac:dyDescent="0.2">
      <c r="A27" s="10">
        <v>22886</v>
      </c>
      <c r="B27" s="11">
        <v>42858</v>
      </c>
      <c r="C27" s="12">
        <v>10</v>
      </c>
      <c r="D27" s="12">
        <v>0.76</v>
      </c>
      <c r="E27" s="15" t="s">
        <v>11</v>
      </c>
      <c r="I27" s="16"/>
    </row>
    <row r="28" spans="1:9" s="8" customFormat="1" x14ac:dyDescent="0.2">
      <c r="A28" s="10">
        <v>22887</v>
      </c>
      <c r="B28" s="11">
        <v>42858</v>
      </c>
      <c r="C28" s="12">
        <v>55</v>
      </c>
      <c r="D28" s="12">
        <v>4.1900000000000004</v>
      </c>
      <c r="E28" s="17"/>
      <c r="F28" s="18"/>
      <c r="G28" s="19"/>
      <c r="H28" s="12"/>
      <c r="I28" s="16"/>
    </row>
    <row r="29" spans="1:9" s="8" customFormat="1" x14ac:dyDescent="0.2">
      <c r="A29" s="10">
        <v>22888</v>
      </c>
      <c r="B29" s="11">
        <v>42858</v>
      </c>
      <c r="C29" s="12">
        <v>30</v>
      </c>
      <c r="D29" s="12"/>
      <c r="E29" s="15" t="s">
        <v>1016</v>
      </c>
      <c r="F29" s="21"/>
      <c r="G29" s="22"/>
      <c r="H29" s="10"/>
      <c r="I29" s="16"/>
    </row>
    <row r="30" spans="1:9" s="8" customFormat="1" x14ac:dyDescent="0.2">
      <c r="A30" s="10">
        <v>22889</v>
      </c>
      <c r="B30" s="11">
        <v>42858</v>
      </c>
      <c r="C30" s="12">
        <v>494.7</v>
      </c>
      <c r="D30" s="12">
        <v>37.700000000000003</v>
      </c>
      <c r="E30" s="17"/>
      <c r="F30" s="18"/>
      <c r="G30" s="19"/>
      <c r="H30" s="12"/>
      <c r="I30" s="16"/>
    </row>
    <row r="31" spans="1:9" s="8" customFormat="1" x14ac:dyDescent="0.2">
      <c r="A31" s="10">
        <v>22890</v>
      </c>
      <c r="B31" s="11">
        <v>42858</v>
      </c>
      <c r="C31" s="12">
        <v>18.940000000000001</v>
      </c>
      <c r="D31" s="12">
        <v>1.44</v>
      </c>
      <c r="E31" s="17"/>
      <c r="F31" s="18"/>
      <c r="G31" s="19"/>
      <c r="H31" s="12"/>
      <c r="I31" s="16"/>
    </row>
    <row r="32" spans="1:9" s="8" customFormat="1" x14ac:dyDescent="0.2">
      <c r="A32" s="10">
        <v>22891</v>
      </c>
      <c r="B32" s="11">
        <v>42858</v>
      </c>
      <c r="C32" s="12">
        <v>27.06</v>
      </c>
      <c r="D32" s="12">
        <v>2.06</v>
      </c>
      <c r="E32" s="17"/>
      <c r="I32" s="16"/>
    </row>
    <row r="33" spans="1:9" s="8" customFormat="1" x14ac:dyDescent="0.2">
      <c r="A33" s="10">
        <v>22892</v>
      </c>
      <c r="B33" s="11">
        <v>42858</v>
      </c>
      <c r="C33" s="12">
        <v>248.98</v>
      </c>
      <c r="D33" s="12">
        <v>18.98</v>
      </c>
      <c r="E33" s="15" t="s">
        <v>11</v>
      </c>
      <c r="I33" s="16"/>
    </row>
    <row r="34" spans="1:9" s="8" customFormat="1" x14ac:dyDescent="0.2">
      <c r="A34" s="10">
        <v>22893</v>
      </c>
      <c r="B34" s="11">
        <v>42858</v>
      </c>
      <c r="C34" s="12">
        <v>108.25</v>
      </c>
      <c r="D34" s="12">
        <v>8.25</v>
      </c>
      <c r="E34" s="15" t="s">
        <v>11</v>
      </c>
      <c r="F34" s="134">
        <f>C19+C27+C33+C34</f>
        <v>405.12</v>
      </c>
      <c r="G34" s="123">
        <f>+F34*0.97831</f>
        <v>396.33294720000004</v>
      </c>
      <c r="H34" s="253"/>
      <c r="I34" s="16"/>
    </row>
    <row r="35" spans="1:9" s="8" customFormat="1" x14ac:dyDescent="0.2">
      <c r="A35" s="10">
        <v>22894</v>
      </c>
      <c r="B35" s="11">
        <v>42859</v>
      </c>
      <c r="C35" s="12">
        <v>2.11</v>
      </c>
      <c r="D35" s="12">
        <v>0.16</v>
      </c>
      <c r="E35" s="17"/>
      <c r="F35" s="18"/>
      <c r="G35" s="19"/>
      <c r="H35" s="12"/>
      <c r="I35" s="16"/>
    </row>
    <row r="36" spans="1:9" s="8" customFormat="1" x14ac:dyDescent="0.2">
      <c r="A36" s="10">
        <v>22895</v>
      </c>
      <c r="B36" s="11">
        <v>42859</v>
      </c>
      <c r="C36" s="12">
        <v>50</v>
      </c>
      <c r="D36" s="12">
        <v>3.81</v>
      </c>
      <c r="E36" s="15" t="s">
        <v>11</v>
      </c>
      <c r="F36" s="21"/>
      <c r="G36" s="22"/>
      <c r="H36" s="10"/>
      <c r="I36" s="16"/>
    </row>
    <row r="37" spans="1:9" s="8" customFormat="1" x14ac:dyDescent="0.2">
      <c r="A37" s="10">
        <v>22896</v>
      </c>
      <c r="B37" s="11">
        <v>42859</v>
      </c>
      <c r="C37" s="12">
        <v>20</v>
      </c>
      <c r="D37" s="12">
        <v>1.52</v>
      </c>
      <c r="E37" s="17"/>
      <c r="F37" s="18"/>
      <c r="G37" s="19"/>
      <c r="H37" s="12"/>
      <c r="I37" s="16"/>
    </row>
    <row r="38" spans="1:9" s="8" customFormat="1" x14ac:dyDescent="0.2">
      <c r="A38" s="10">
        <v>22897</v>
      </c>
      <c r="B38" s="11">
        <v>42859</v>
      </c>
      <c r="C38" s="12">
        <v>32.42</v>
      </c>
      <c r="D38" s="12">
        <v>2.4700000000000002</v>
      </c>
      <c r="E38" s="17"/>
      <c r="I38" s="16"/>
    </row>
    <row r="39" spans="1:9" s="8" customFormat="1" x14ac:dyDescent="0.2">
      <c r="A39" s="10">
        <v>22898</v>
      </c>
      <c r="B39" s="11">
        <v>42859</v>
      </c>
      <c r="C39" s="12">
        <v>59</v>
      </c>
      <c r="D39" s="12"/>
      <c r="E39" s="15" t="s">
        <v>1017</v>
      </c>
      <c r="F39" s="21"/>
      <c r="G39" s="22"/>
      <c r="H39" s="10"/>
      <c r="I39" s="16"/>
    </row>
    <row r="40" spans="1:9" s="8" customFormat="1" x14ac:dyDescent="0.2">
      <c r="A40" s="10">
        <v>22899</v>
      </c>
      <c r="B40" s="11">
        <v>42859</v>
      </c>
      <c r="C40" s="12">
        <v>6.5</v>
      </c>
      <c r="D40" s="12">
        <v>0.5</v>
      </c>
      <c r="E40" s="15" t="s">
        <v>1018</v>
      </c>
      <c r="F40" s="21"/>
      <c r="G40" s="22"/>
      <c r="H40" s="10"/>
      <c r="I40" s="16"/>
    </row>
    <row r="41" spans="1:9" s="8" customFormat="1" x14ac:dyDescent="0.2">
      <c r="A41" s="10">
        <v>22900</v>
      </c>
      <c r="B41" s="11">
        <v>42859</v>
      </c>
      <c r="C41" s="12">
        <v>5</v>
      </c>
      <c r="D41" s="12"/>
      <c r="E41" s="15" t="s">
        <v>25</v>
      </c>
      <c r="F41" s="21"/>
      <c r="G41" s="22"/>
      <c r="H41" s="10"/>
      <c r="I41" s="16"/>
    </row>
    <row r="42" spans="1:9" s="8" customFormat="1" x14ac:dyDescent="0.2">
      <c r="A42" s="10">
        <v>22901</v>
      </c>
      <c r="B42" s="11">
        <v>42859</v>
      </c>
      <c r="C42" s="12">
        <v>428.67</v>
      </c>
      <c r="D42" s="12">
        <v>32.67</v>
      </c>
      <c r="E42" s="15" t="s">
        <v>1019</v>
      </c>
      <c r="F42" s="21"/>
      <c r="G42" s="22"/>
      <c r="H42" s="10"/>
      <c r="I42" s="16"/>
    </row>
    <row r="43" spans="1:9" s="8" customFormat="1" x14ac:dyDescent="0.2">
      <c r="A43" s="10">
        <v>22902</v>
      </c>
      <c r="B43" s="11">
        <v>42859</v>
      </c>
      <c r="C43" s="12">
        <v>74.69</v>
      </c>
      <c r="D43" s="12">
        <v>5.69</v>
      </c>
      <c r="E43" s="15" t="s">
        <v>11</v>
      </c>
      <c r="F43" s="21"/>
      <c r="G43" s="22"/>
      <c r="H43" s="10"/>
      <c r="I43" s="16"/>
    </row>
    <row r="44" spans="1:9" s="8" customFormat="1" x14ac:dyDescent="0.2">
      <c r="A44" s="10">
        <v>22903</v>
      </c>
      <c r="B44" s="11">
        <v>42859</v>
      </c>
      <c r="C44" s="12">
        <v>86.52000000000001</v>
      </c>
      <c r="D44" s="12">
        <v>6.59</v>
      </c>
      <c r="E44" s="15" t="s">
        <v>11</v>
      </c>
      <c r="F44" s="21"/>
      <c r="G44" s="22"/>
      <c r="H44" s="10"/>
      <c r="I44" s="16"/>
    </row>
    <row r="45" spans="1:9" s="8" customFormat="1" x14ac:dyDescent="0.2">
      <c r="A45" s="10">
        <v>22904</v>
      </c>
      <c r="B45" s="11">
        <v>42859</v>
      </c>
      <c r="C45" s="12">
        <v>39</v>
      </c>
      <c r="D45" s="12"/>
      <c r="E45" s="15" t="s">
        <v>1017</v>
      </c>
      <c r="I45" s="16"/>
    </row>
    <row r="46" spans="1:9" s="8" customFormat="1" x14ac:dyDescent="0.2">
      <c r="A46" s="10">
        <v>22905</v>
      </c>
      <c r="B46" s="11">
        <v>42859</v>
      </c>
      <c r="C46" s="12">
        <v>20</v>
      </c>
      <c r="D46" s="12">
        <v>1.52</v>
      </c>
      <c r="E46" s="17"/>
      <c r="F46" s="18"/>
      <c r="G46" s="19"/>
      <c r="H46" s="12"/>
      <c r="I46" s="16"/>
    </row>
    <row r="47" spans="1:9" s="8" customFormat="1" x14ac:dyDescent="0.2">
      <c r="A47" s="10">
        <v>22906</v>
      </c>
      <c r="B47" s="11">
        <v>42859</v>
      </c>
      <c r="C47" s="12">
        <v>10</v>
      </c>
      <c r="D47" s="12">
        <v>0.76</v>
      </c>
      <c r="E47" s="17"/>
      <c r="F47" s="134">
        <f>+C36+C43+C44</f>
        <v>211.21</v>
      </c>
      <c r="G47" s="123">
        <f>+F47*0.97831</f>
        <v>206.62885510000001</v>
      </c>
      <c r="H47" s="253"/>
      <c r="I47" s="16"/>
    </row>
    <row r="48" spans="1:9" s="8" customFormat="1" x14ac:dyDescent="0.2">
      <c r="A48" s="10">
        <v>22907</v>
      </c>
      <c r="B48" s="11">
        <v>42860</v>
      </c>
      <c r="C48" s="12">
        <v>12.99</v>
      </c>
      <c r="D48" s="12">
        <v>0.99</v>
      </c>
      <c r="E48" s="15" t="s">
        <v>7</v>
      </c>
      <c r="F48" s="21"/>
      <c r="G48" s="22"/>
      <c r="H48" s="10"/>
      <c r="I48" s="16"/>
    </row>
    <row r="49" spans="1:9" s="8" customFormat="1" x14ac:dyDescent="0.2">
      <c r="A49" s="10">
        <v>22908</v>
      </c>
      <c r="B49" s="11">
        <v>42860</v>
      </c>
      <c r="C49" s="12">
        <v>14.4</v>
      </c>
      <c r="D49" s="12"/>
      <c r="E49" s="15" t="s">
        <v>1020</v>
      </c>
      <c r="I49" s="16"/>
    </row>
    <row r="50" spans="1:9" s="8" customFormat="1" x14ac:dyDescent="0.2">
      <c r="A50" s="10">
        <v>22909</v>
      </c>
      <c r="B50" s="11">
        <v>42860</v>
      </c>
      <c r="C50" s="12">
        <v>37.89</v>
      </c>
      <c r="D50" s="12">
        <v>2.89</v>
      </c>
      <c r="E50" s="15" t="s">
        <v>7</v>
      </c>
      <c r="F50" s="21"/>
      <c r="G50" s="22"/>
      <c r="H50" s="10"/>
      <c r="I50" s="16"/>
    </row>
    <row r="51" spans="1:9" s="8" customFormat="1" x14ac:dyDescent="0.2">
      <c r="A51" s="10">
        <v>22910</v>
      </c>
      <c r="B51" s="11">
        <v>42860</v>
      </c>
      <c r="C51" s="12">
        <v>85</v>
      </c>
      <c r="D51" s="12"/>
      <c r="E51" s="15" t="s">
        <v>1021</v>
      </c>
      <c r="I51" s="16"/>
    </row>
    <row r="52" spans="1:9" s="8" customFormat="1" x14ac:dyDescent="0.2">
      <c r="A52" s="10">
        <v>22911</v>
      </c>
      <c r="B52" s="11">
        <v>42860</v>
      </c>
      <c r="C52" s="12">
        <v>119.08</v>
      </c>
      <c r="D52" s="12">
        <v>9.08</v>
      </c>
      <c r="E52" s="13" t="s">
        <v>1022</v>
      </c>
      <c r="F52" s="18"/>
      <c r="G52" s="19"/>
      <c r="H52" s="12"/>
      <c r="I52" s="16"/>
    </row>
    <row r="53" spans="1:9" s="8" customFormat="1" x14ac:dyDescent="0.2">
      <c r="A53" s="10">
        <v>22912</v>
      </c>
      <c r="B53" s="11">
        <v>42860</v>
      </c>
      <c r="C53" s="12">
        <v>191</v>
      </c>
      <c r="D53" s="12"/>
      <c r="E53" s="15" t="s">
        <v>1017</v>
      </c>
      <c r="I53" s="16"/>
    </row>
    <row r="54" spans="1:9" s="8" customFormat="1" x14ac:dyDescent="0.2">
      <c r="A54" s="10">
        <v>22913</v>
      </c>
      <c r="B54" s="11">
        <v>42860</v>
      </c>
      <c r="C54" s="12">
        <v>34.64</v>
      </c>
      <c r="D54" s="12">
        <v>2.64</v>
      </c>
      <c r="E54" s="15" t="s">
        <v>11</v>
      </c>
      <c r="I54" s="16"/>
    </row>
    <row r="55" spans="1:9" s="8" customFormat="1" x14ac:dyDescent="0.2">
      <c r="A55" s="10">
        <v>22914</v>
      </c>
      <c r="B55" s="11">
        <v>42860</v>
      </c>
      <c r="C55" s="12">
        <v>635</v>
      </c>
      <c r="D55" s="12">
        <v>48.39</v>
      </c>
      <c r="E55" s="15" t="s">
        <v>21</v>
      </c>
      <c r="F55" s="21"/>
      <c r="G55" s="22"/>
      <c r="H55" s="10"/>
      <c r="I55" s="16"/>
    </row>
    <row r="56" spans="1:9" s="8" customFormat="1" x14ac:dyDescent="0.2">
      <c r="A56" s="10">
        <v>22915</v>
      </c>
      <c r="B56" s="11">
        <v>42860</v>
      </c>
      <c r="C56" s="12">
        <v>0</v>
      </c>
      <c r="D56" s="12">
        <v>0</v>
      </c>
      <c r="E56" s="15" t="s">
        <v>1023</v>
      </c>
      <c r="I56" s="16"/>
    </row>
    <row r="57" spans="1:9" s="8" customFormat="1" x14ac:dyDescent="0.2">
      <c r="A57" s="10">
        <v>22916</v>
      </c>
      <c r="B57" s="11">
        <v>42860</v>
      </c>
      <c r="C57" s="12">
        <v>22.73</v>
      </c>
      <c r="D57" s="12">
        <v>1.73</v>
      </c>
      <c r="E57" s="17"/>
      <c r="F57" s="18"/>
      <c r="G57" s="19"/>
      <c r="H57" s="12"/>
      <c r="I57" s="16"/>
    </row>
    <row r="58" spans="1:9" s="8" customFormat="1" x14ac:dyDescent="0.2">
      <c r="A58" s="10">
        <v>22917</v>
      </c>
      <c r="B58" s="11">
        <v>42860</v>
      </c>
      <c r="C58" s="12">
        <v>88.77</v>
      </c>
      <c r="D58" s="12">
        <v>6.77</v>
      </c>
      <c r="E58" s="17"/>
      <c r="F58" s="18"/>
      <c r="G58" s="19"/>
      <c r="H58" s="12"/>
      <c r="I58" s="16"/>
    </row>
    <row r="59" spans="1:9" s="8" customFormat="1" x14ac:dyDescent="0.2">
      <c r="A59" s="10">
        <v>22918</v>
      </c>
      <c r="B59" s="11">
        <v>42860</v>
      </c>
      <c r="C59" s="12">
        <v>265</v>
      </c>
      <c r="D59" s="12">
        <v>20.2</v>
      </c>
      <c r="E59" s="17"/>
      <c r="F59" s="134">
        <f>13.12+C48+C49+C50+163.79+C54+100</f>
        <v>376.83</v>
      </c>
      <c r="G59" s="123">
        <f>+F59*0.97831</f>
        <v>368.65655729999997</v>
      </c>
      <c r="H59" s="253"/>
      <c r="I59" s="16"/>
    </row>
    <row r="60" spans="1:9" s="8" customFormat="1" x14ac:dyDescent="0.2">
      <c r="A60" s="10">
        <v>22919</v>
      </c>
      <c r="B60" s="11">
        <v>42861</v>
      </c>
      <c r="C60" s="12">
        <v>29.23</v>
      </c>
      <c r="D60" s="12">
        <v>2.23</v>
      </c>
      <c r="E60" s="15" t="s">
        <v>7</v>
      </c>
      <c r="I60" s="16"/>
    </row>
    <row r="61" spans="1:9" s="8" customFormat="1" x14ac:dyDescent="0.2">
      <c r="A61" s="10">
        <v>22920</v>
      </c>
      <c r="B61" s="11">
        <v>42861</v>
      </c>
      <c r="C61" s="12">
        <v>31.39</v>
      </c>
      <c r="D61" s="12">
        <v>2.39</v>
      </c>
      <c r="E61" s="15" t="s">
        <v>11</v>
      </c>
      <c r="I61" s="16"/>
    </row>
    <row r="62" spans="1:9" s="8" customFormat="1" x14ac:dyDescent="0.2">
      <c r="A62" s="10">
        <v>22921</v>
      </c>
      <c r="B62" s="11">
        <v>42861</v>
      </c>
      <c r="C62" s="12">
        <v>509.86</v>
      </c>
      <c r="D62" s="12">
        <v>38.86</v>
      </c>
      <c r="E62" s="15" t="s">
        <v>533</v>
      </c>
      <c r="I62" s="16"/>
    </row>
    <row r="63" spans="1:9" s="8" customFormat="1" x14ac:dyDescent="0.2">
      <c r="A63" s="10">
        <v>22922</v>
      </c>
      <c r="B63" s="11">
        <v>42861</v>
      </c>
      <c r="C63" s="12">
        <v>20.57</v>
      </c>
      <c r="D63" s="12">
        <v>1.57</v>
      </c>
      <c r="E63" s="15" t="s">
        <v>11</v>
      </c>
      <c r="F63" s="21"/>
      <c r="G63" s="22"/>
      <c r="H63" s="10"/>
      <c r="I63" s="16"/>
    </row>
    <row r="64" spans="1:9" s="8" customFormat="1" x14ac:dyDescent="0.2">
      <c r="A64" s="10">
        <v>22923</v>
      </c>
      <c r="B64" s="11">
        <v>42861</v>
      </c>
      <c r="C64" s="12">
        <v>31.39</v>
      </c>
      <c r="D64" s="12">
        <v>2.39</v>
      </c>
      <c r="E64" s="15" t="s">
        <v>21</v>
      </c>
      <c r="F64" s="21"/>
      <c r="G64" s="22"/>
      <c r="H64" s="10"/>
      <c r="I64" s="16"/>
    </row>
    <row r="65" spans="1:9" s="8" customFormat="1" x14ac:dyDescent="0.2">
      <c r="A65" s="10">
        <v>22924</v>
      </c>
      <c r="B65" s="11">
        <v>42861</v>
      </c>
      <c r="C65" s="12">
        <v>1</v>
      </c>
      <c r="D65" s="12">
        <v>0.08</v>
      </c>
      <c r="E65" s="17"/>
      <c r="I65" s="16"/>
    </row>
    <row r="66" spans="1:9" s="8" customFormat="1" x14ac:dyDescent="0.2">
      <c r="A66" s="10">
        <v>22925</v>
      </c>
      <c r="B66" s="11">
        <v>42861</v>
      </c>
      <c r="C66" s="12"/>
      <c r="D66" s="12"/>
      <c r="E66" s="15"/>
      <c r="I66" s="16"/>
    </row>
    <row r="67" spans="1:9" s="8" customFormat="1" x14ac:dyDescent="0.2">
      <c r="A67" s="10">
        <v>22926</v>
      </c>
      <c r="B67" s="11">
        <v>42861</v>
      </c>
      <c r="C67" s="12">
        <v>101.76</v>
      </c>
      <c r="D67" s="12">
        <v>7.76</v>
      </c>
      <c r="E67" s="17"/>
      <c r="F67" s="18"/>
      <c r="G67" s="19"/>
      <c r="H67" s="12"/>
      <c r="I67" s="16"/>
    </row>
    <row r="68" spans="1:9" s="8" customFormat="1" x14ac:dyDescent="0.2">
      <c r="A68" s="10">
        <v>22927</v>
      </c>
      <c r="B68" s="11">
        <v>42861</v>
      </c>
      <c r="C68" s="12">
        <v>27.06</v>
      </c>
      <c r="D68" s="12">
        <v>2.06</v>
      </c>
      <c r="E68" s="15" t="s">
        <v>11</v>
      </c>
      <c r="I68" s="16"/>
    </row>
    <row r="69" spans="1:9" s="8" customFormat="1" x14ac:dyDescent="0.2">
      <c r="A69" s="10">
        <v>22928</v>
      </c>
      <c r="B69" s="11">
        <v>42861</v>
      </c>
      <c r="C69" s="12">
        <v>97</v>
      </c>
      <c r="D69" s="12"/>
      <c r="E69" s="15" t="s">
        <v>60</v>
      </c>
      <c r="F69" s="134">
        <f>+C60+C61+79.08+112.84+177+C63+50+C68</f>
        <v>527.16999999999996</v>
      </c>
      <c r="G69" s="123">
        <f>+F69*0.97831</f>
        <v>515.73568269999998</v>
      </c>
      <c r="H69" s="253" t="s">
        <v>1024</v>
      </c>
      <c r="I69" s="16"/>
    </row>
    <row r="70" spans="1:9" s="8" customFormat="1" x14ac:dyDescent="0.2">
      <c r="A70" s="10">
        <v>22929</v>
      </c>
      <c r="B70" s="11">
        <v>42863</v>
      </c>
      <c r="C70" s="12">
        <v>210.55</v>
      </c>
      <c r="D70" s="12">
        <v>16.05</v>
      </c>
      <c r="E70" s="15" t="s">
        <v>533</v>
      </c>
      <c r="F70" s="21"/>
      <c r="G70" s="22"/>
      <c r="H70" s="21"/>
      <c r="I70" s="16"/>
    </row>
    <row r="71" spans="1:9" s="8" customFormat="1" x14ac:dyDescent="0.2">
      <c r="A71" s="10">
        <v>22930</v>
      </c>
      <c r="B71" s="11">
        <v>42863</v>
      </c>
      <c r="C71" s="12">
        <v>1000</v>
      </c>
      <c r="D71" s="12"/>
      <c r="E71" s="15" t="s">
        <v>11</v>
      </c>
      <c r="F71" s="21"/>
      <c r="G71" s="22"/>
      <c r="H71" s="21"/>
      <c r="I71" s="16"/>
    </row>
    <row r="72" spans="1:9" s="8" customFormat="1" x14ac:dyDescent="0.2">
      <c r="A72" s="10">
        <v>22931</v>
      </c>
      <c r="B72" s="11">
        <v>42863</v>
      </c>
      <c r="C72" s="12">
        <v>292.82</v>
      </c>
      <c r="D72" s="12">
        <v>22.32</v>
      </c>
      <c r="E72" s="15" t="s">
        <v>21</v>
      </c>
      <c r="I72" s="16"/>
    </row>
    <row r="73" spans="1:9" s="8" customFormat="1" x14ac:dyDescent="0.2">
      <c r="A73" s="10">
        <v>22932</v>
      </c>
      <c r="B73" s="11">
        <v>42863</v>
      </c>
      <c r="C73" s="12">
        <v>25</v>
      </c>
      <c r="D73" s="12"/>
      <c r="E73" s="15" t="s">
        <v>21</v>
      </c>
      <c r="F73" s="21"/>
      <c r="G73" s="22"/>
      <c r="H73" s="10"/>
      <c r="I73" s="16"/>
    </row>
    <row r="74" spans="1:9" s="8" customFormat="1" x14ac:dyDescent="0.2">
      <c r="A74" s="10">
        <v>22933</v>
      </c>
      <c r="B74" s="11">
        <v>42863</v>
      </c>
      <c r="C74" s="12">
        <v>315.01</v>
      </c>
      <c r="D74" s="12">
        <v>24.01</v>
      </c>
      <c r="E74" s="15" t="s">
        <v>1025</v>
      </c>
      <c r="F74" s="21"/>
      <c r="G74" s="22"/>
      <c r="H74" s="10"/>
      <c r="I74" s="16"/>
    </row>
    <row r="75" spans="1:9" s="8" customFormat="1" x14ac:dyDescent="0.2">
      <c r="A75" s="10">
        <v>22934</v>
      </c>
      <c r="B75" s="11">
        <v>42863</v>
      </c>
      <c r="C75" s="12">
        <v>238.15</v>
      </c>
      <c r="D75" s="12">
        <v>18.149999999999999</v>
      </c>
      <c r="E75" s="15" t="s">
        <v>533</v>
      </c>
      <c r="I75" s="16"/>
    </row>
    <row r="76" spans="1:9" s="8" customFormat="1" x14ac:dyDescent="0.2">
      <c r="A76" s="10">
        <v>22935</v>
      </c>
      <c r="B76" s="11">
        <v>42863</v>
      </c>
      <c r="C76" s="12">
        <v>12</v>
      </c>
      <c r="D76" s="12">
        <v>0.91</v>
      </c>
      <c r="E76" s="15" t="s">
        <v>7</v>
      </c>
      <c r="F76" s="21"/>
      <c r="G76" s="22"/>
      <c r="H76" s="10"/>
      <c r="I76" s="16"/>
    </row>
    <row r="77" spans="1:9" s="8" customFormat="1" x14ac:dyDescent="0.2">
      <c r="A77" s="10">
        <v>22936</v>
      </c>
      <c r="B77" s="11">
        <v>42863</v>
      </c>
      <c r="C77" s="12">
        <v>211.63</v>
      </c>
      <c r="D77" s="12">
        <v>16.13</v>
      </c>
      <c r="E77" s="15" t="s">
        <v>21</v>
      </c>
      <c r="I77" s="16"/>
    </row>
    <row r="78" spans="1:9" s="8" customFormat="1" x14ac:dyDescent="0.2">
      <c r="A78" s="10">
        <v>22937</v>
      </c>
      <c r="B78" s="11">
        <v>42863</v>
      </c>
      <c r="C78" s="12">
        <v>44.870000000000005</v>
      </c>
      <c r="D78" s="12">
        <v>3.42</v>
      </c>
      <c r="E78" s="17"/>
      <c r="F78" s="18"/>
      <c r="G78" s="19"/>
      <c r="H78" s="12"/>
      <c r="I78" s="16"/>
    </row>
    <row r="79" spans="1:9" s="8" customFormat="1" x14ac:dyDescent="0.2">
      <c r="A79" s="10">
        <v>22938</v>
      </c>
      <c r="B79" s="11">
        <v>42863</v>
      </c>
      <c r="C79" s="12">
        <v>54.13</v>
      </c>
      <c r="D79" s="12">
        <v>4.13</v>
      </c>
      <c r="E79" s="15" t="s">
        <v>533</v>
      </c>
      <c r="I79" s="16"/>
    </row>
    <row r="80" spans="1:9" s="8" customFormat="1" x14ac:dyDescent="0.2">
      <c r="A80" s="10">
        <v>22939</v>
      </c>
      <c r="B80" s="11">
        <v>42863</v>
      </c>
      <c r="C80" s="12">
        <v>21.65</v>
      </c>
      <c r="D80" s="12">
        <v>1.65</v>
      </c>
      <c r="E80" s="17"/>
      <c r="F80" s="18"/>
      <c r="G80" s="19"/>
      <c r="H80" s="12"/>
      <c r="I80" s="16"/>
    </row>
    <row r="81" spans="1:9" s="8" customFormat="1" x14ac:dyDescent="0.2">
      <c r="A81" s="10">
        <v>22940</v>
      </c>
      <c r="B81" s="11">
        <v>42863</v>
      </c>
      <c r="C81" s="12">
        <v>110</v>
      </c>
      <c r="D81" s="12">
        <v>8.3800000000000008</v>
      </c>
      <c r="E81" s="17"/>
      <c r="I81" s="16"/>
    </row>
    <row r="82" spans="1:9" s="8" customFormat="1" x14ac:dyDescent="0.2">
      <c r="A82" s="10">
        <v>22941</v>
      </c>
      <c r="B82" s="11">
        <v>42863</v>
      </c>
      <c r="C82" s="12">
        <v>38</v>
      </c>
      <c r="D82" s="12">
        <v>2.9</v>
      </c>
      <c r="E82" s="15" t="s">
        <v>297</v>
      </c>
      <c r="I82" s="16"/>
    </row>
    <row r="83" spans="1:9" s="8" customFormat="1" x14ac:dyDescent="0.2">
      <c r="A83" s="10">
        <v>22942</v>
      </c>
      <c r="B83" s="11">
        <v>42863</v>
      </c>
      <c r="C83" s="12">
        <v>32</v>
      </c>
      <c r="D83" s="12">
        <v>2.44</v>
      </c>
      <c r="E83" s="17"/>
      <c r="F83" s="134">
        <f>+C71+C76</f>
        <v>1012</v>
      </c>
      <c r="G83" s="123">
        <f>+F83*0.97831</f>
        <v>990.04971999999998</v>
      </c>
      <c r="H83" s="253" t="s">
        <v>1026</v>
      </c>
      <c r="I83" s="16"/>
    </row>
    <row r="84" spans="1:9" s="8" customFormat="1" x14ac:dyDescent="0.2">
      <c r="A84" s="10">
        <v>22943</v>
      </c>
      <c r="B84" s="11">
        <v>42864</v>
      </c>
      <c r="C84" s="12">
        <v>10.83</v>
      </c>
      <c r="D84" s="12">
        <v>0.83</v>
      </c>
      <c r="E84" s="17"/>
      <c r="I84" s="16"/>
    </row>
    <row r="85" spans="1:9" s="8" customFormat="1" x14ac:dyDescent="0.2">
      <c r="A85" s="10">
        <v>22944</v>
      </c>
      <c r="B85" s="11">
        <v>42864</v>
      </c>
      <c r="C85" s="12">
        <v>161.29</v>
      </c>
      <c r="D85" s="12">
        <v>12.29</v>
      </c>
      <c r="E85" s="15" t="s">
        <v>11</v>
      </c>
      <c r="F85" s="21"/>
      <c r="G85" s="22"/>
      <c r="H85" s="10"/>
      <c r="I85" s="16"/>
    </row>
    <row r="86" spans="1:9" s="8" customFormat="1" x14ac:dyDescent="0.2">
      <c r="A86" s="10">
        <v>22945</v>
      </c>
      <c r="B86" s="11">
        <v>42864</v>
      </c>
      <c r="C86" s="12">
        <v>11</v>
      </c>
      <c r="D86" s="12"/>
      <c r="E86" s="15" t="s">
        <v>1027</v>
      </c>
      <c r="I86" s="16"/>
    </row>
    <row r="87" spans="1:9" s="8" customFormat="1" x14ac:dyDescent="0.2">
      <c r="A87" s="10">
        <v>22946</v>
      </c>
      <c r="B87" s="11">
        <v>42864</v>
      </c>
      <c r="C87" s="12">
        <v>124.49</v>
      </c>
      <c r="D87" s="12">
        <v>9.49</v>
      </c>
      <c r="E87" s="15" t="s">
        <v>11</v>
      </c>
      <c r="F87" s="21"/>
      <c r="G87" s="22"/>
      <c r="H87" s="10"/>
      <c r="I87" s="16"/>
    </row>
    <row r="88" spans="1:9" s="8" customFormat="1" x14ac:dyDescent="0.2">
      <c r="A88" s="10">
        <v>22947</v>
      </c>
      <c r="B88" s="11">
        <v>42864</v>
      </c>
      <c r="C88" s="12">
        <v>48.71</v>
      </c>
      <c r="D88" s="12">
        <v>3.71</v>
      </c>
      <c r="E88" s="15" t="s">
        <v>11</v>
      </c>
      <c r="F88" s="21"/>
      <c r="G88" s="22"/>
      <c r="H88" s="10"/>
      <c r="I88" s="16"/>
    </row>
    <row r="89" spans="1:9" s="8" customFormat="1" x14ac:dyDescent="0.2">
      <c r="A89" s="10">
        <v>22948</v>
      </c>
      <c r="B89" s="11">
        <v>42864</v>
      </c>
      <c r="C89" s="12">
        <v>1100</v>
      </c>
      <c r="D89" s="12">
        <v>83.83</v>
      </c>
      <c r="E89" s="13"/>
      <c r="F89" s="18"/>
      <c r="G89" s="19"/>
      <c r="H89" s="12"/>
      <c r="I89" s="16"/>
    </row>
    <row r="90" spans="1:9" s="8" customFormat="1" x14ac:dyDescent="0.2">
      <c r="A90" s="10">
        <v>22949</v>
      </c>
      <c r="B90" s="11">
        <v>42864</v>
      </c>
      <c r="C90" s="12">
        <v>247.48</v>
      </c>
      <c r="D90" s="12">
        <v>18.48</v>
      </c>
      <c r="E90" s="15"/>
      <c r="I90" s="16"/>
    </row>
    <row r="91" spans="1:9" s="8" customFormat="1" x14ac:dyDescent="0.2">
      <c r="A91" s="10">
        <v>22950</v>
      </c>
      <c r="B91" s="11">
        <v>42864</v>
      </c>
      <c r="C91" s="12">
        <v>86.6</v>
      </c>
      <c r="D91" s="12">
        <v>6.6</v>
      </c>
      <c r="E91" s="15" t="s">
        <v>533</v>
      </c>
      <c r="I91" s="16"/>
    </row>
    <row r="92" spans="1:9" s="8" customFormat="1" x14ac:dyDescent="0.2">
      <c r="A92" s="10">
        <v>22951</v>
      </c>
      <c r="B92" s="11">
        <v>42864</v>
      </c>
      <c r="C92" s="12">
        <v>283.14999999999998</v>
      </c>
      <c r="D92" s="12"/>
      <c r="E92" s="15" t="s">
        <v>97</v>
      </c>
      <c r="I92" s="16"/>
    </row>
    <row r="93" spans="1:9" s="8" customFormat="1" x14ac:dyDescent="0.2">
      <c r="A93" s="10">
        <v>22952</v>
      </c>
      <c r="B93" s="11">
        <v>42864</v>
      </c>
      <c r="C93" s="12">
        <v>29.23</v>
      </c>
      <c r="D93" s="12">
        <v>2.23</v>
      </c>
      <c r="E93" s="15" t="s">
        <v>21</v>
      </c>
      <c r="I93" s="16"/>
    </row>
    <row r="94" spans="1:9" s="8" customFormat="1" x14ac:dyDescent="0.2">
      <c r="A94" s="10">
        <v>22953</v>
      </c>
      <c r="B94" s="11">
        <v>42864</v>
      </c>
      <c r="C94" s="12">
        <v>74.69</v>
      </c>
      <c r="D94" s="12">
        <v>5.69</v>
      </c>
      <c r="E94" s="15" t="s">
        <v>11</v>
      </c>
      <c r="F94" s="21"/>
      <c r="G94" s="22"/>
      <c r="H94" s="10"/>
      <c r="I94" s="16"/>
    </row>
    <row r="95" spans="1:9" s="8" customFormat="1" x14ac:dyDescent="0.2">
      <c r="A95" s="10">
        <v>22954</v>
      </c>
      <c r="B95" s="11">
        <v>42864</v>
      </c>
      <c r="C95" s="12">
        <v>31.39</v>
      </c>
      <c r="D95" s="12">
        <v>2.39</v>
      </c>
      <c r="E95" s="15" t="s">
        <v>11</v>
      </c>
      <c r="F95" s="134">
        <f>+C85+C88+C95+C94</f>
        <v>316.08</v>
      </c>
      <c r="G95" s="123">
        <f>+F95*0.97831</f>
        <v>309.2242248</v>
      </c>
      <c r="H95" s="253" t="s">
        <v>1028</v>
      </c>
      <c r="I95" s="16"/>
    </row>
    <row r="96" spans="1:9" s="8" customFormat="1" x14ac:dyDescent="0.2">
      <c r="A96" s="10">
        <v>22955</v>
      </c>
      <c r="B96" s="11">
        <v>42865</v>
      </c>
      <c r="C96" s="12">
        <v>283.62</v>
      </c>
      <c r="D96" s="12">
        <v>21.62</v>
      </c>
      <c r="E96" s="15" t="s">
        <v>7</v>
      </c>
      <c r="F96" s="21"/>
      <c r="G96" s="22"/>
      <c r="H96" s="10"/>
      <c r="I96" s="16"/>
    </row>
    <row r="97" spans="1:9" s="8" customFormat="1" x14ac:dyDescent="0.2">
      <c r="A97" s="10">
        <v>22956</v>
      </c>
      <c r="B97" s="11">
        <v>42865</v>
      </c>
      <c r="C97" s="12">
        <v>265</v>
      </c>
      <c r="D97" s="12">
        <v>20.2</v>
      </c>
      <c r="E97" s="13"/>
      <c r="F97" s="18"/>
      <c r="G97" s="19"/>
      <c r="H97" s="12"/>
      <c r="I97" s="16"/>
    </row>
    <row r="98" spans="1:9" s="8" customFormat="1" x14ac:dyDescent="0.2">
      <c r="A98" s="10">
        <v>22957</v>
      </c>
      <c r="B98" s="11">
        <v>42865</v>
      </c>
      <c r="C98" s="12">
        <v>285.77999999999997</v>
      </c>
      <c r="D98" s="12">
        <v>21.78</v>
      </c>
      <c r="E98" s="13"/>
      <c r="F98" s="18"/>
      <c r="G98" s="19"/>
      <c r="H98" s="12"/>
      <c r="I98" s="16"/>
    </row>
    <row r="99" spans="1:9" s="8" customFormat="1" x14ac:dyDescent="0.2">
      <c r="A99" s="10">
        <v>22958</v>
      </c>
      <c r="B99" s="11">
        <v>42865</v>
      </c>
      <c r="C99" s="12">
        <v>53.04</v>
      </c>
      <c r="D99" s="12">
        <v>4.04</v>
      </c>
      <c r="E99" s="15" t="s">
        <v>1029</v>
      </c>
      <c r="F99" s="21"/>
      <c r="G99" s="22"/>
      <c r="H99" s="10"/>
      <c r="I99" s="16"/>
    </row>
    <row r="100" spans="1:9" s="8" customFormat="1" x14ac:dyDescent="0.2">
      <c r="A100" s="10">
        <v>22959</v>
      </c>
      <c r="B100" s="11">
        <v>42865</v>
      </c>
      <c r="C100" s="12">
        <v>35.18</v>
      </c>
      <c r="D100" s="12">
        <v>2.68</v>
      </c>
      <c r="E100" s="15" t="s">
        <v>11</v>
      </c>
      <c r="I100" s="16"/>
    </row>
    <row r="101" spans="1:9" s="8" customFormat="1" x14ac:dyDescent="0.2">
      <c r="A101" s="10">
        <v>22960</v>
      </c>
      <c r="B101" s="11">
        <v>42865</v>
      </c>
      <c r="C101" s="12">
        <v>159</v>
      </c>
      <c r="D101" s="12"/>
      <c r="E101" s="15" t="s">
        <v>9</v>
      </c>
      <c r="I101" s="16"/>
    </row>
    <row r="102" spans="1:9" s="8" customFormat="1" x14ac:dyDescent="0.2">
      <c r="A102" s="10">
        <v>22961</v>
      </c>
      <c r="B102" s="11">
        <v>42865</v>
      </c>
      <c r="C102" s="12">
        <v>12.99</v>
      </c>
      <c r="D102" s="12">
        <v>0.99</v>
      </c>
      <c r="E102" s="17"/>
      <c r="I102" s="16"/>
    </row>
    <row r="103" spans="1:9" s="8" customFormat="1" x14ac:dyDescent="0.2">
      <c r="A103" s="10">
        <v>22962</v>
      </c>
      <c r="B103" s="11">
        <v>42865</v>
      </c>
      <c r="C103" s="12">
        <v>78</v>
      </c>
      <c r="D103" s="12"/>
      <c r="E103" s="15" t="s">
        <v>60</v>
      </c>
      <c r="I103" s="16"/>
    </row>
    <row r="104" spans="1:9" s="8" customFormat="1" x14ac:dyDescent="0.2">
      <c r="A104" s="10">
        <v>22963</v>
      </c>
      <c r="B104" s="11">
        <v>42865</v>
      </c>
      <c r="C104" s="12">
        <v>14</v>
      </c>
      <c r="D104" s="12"/>
      <c r="E104" s="15" t="s">
        <v>1027</v>
      </c>
      <c r="I104" s="16"/>
    </row>
    <row r="105" spans="1:9" s="8" customFormat="1" x14ac:dyDescent="0.2">
      <c r="A105" s="10">
        <v>22964</v>
      </c>
      <c r="B105" s="11">
        <v>42865</v>
      </c>
      <c r="C105" s="12">
        <v>25.8</v>
      </c>
      <c r="D105" s="12"/>
      <c r="E105" s="15" t="s">
        <v>1030</v>
      </c>
      <c r="F105" s="21"/>
      <c r="G105" s="22"/>
      <c r="H105" s="10"/>
      <c r="I105" s="16"/>
    </row>
    <row r="106" spans="1:9" s="8" customFormat="1" x14ac:dyDescent="0.2">
      <c r="A106" s="10">
        <v>22965</v>
      </c>
      <c r="B106" s="11">
        <v>42865</v>
      </c>
      <c r="C106" s="12">
        <v>29.4</v>
      </c>
      <c r="D106" s="12"/>
      <c r="E106" s="15" t="s">
        <v>1030</v>
      </c>
      <c r="F106" s="21"/>
      <c r="G106" s="22"/>
      <c r="H106" s="10"/>
      <c r="I106" s="16"/>
    </row>
    <row r="107" spans="1:9" s="8" customFormat="1" x14ac:dyDescent="0.2">
      <c r="A107" s="10">
        <v>22966</v>
      </c>
      <c r="B107" s="11">
        <v>42865</v>
      </c>
      <c r="C107" s="12">
        <v>39.4</v>
      </c>
      <c r="D107" s="12"/>
      <c r="E107" s="15" t="s">
        <v>1030</v>
      </c>
      <c r="I107" s="16"/>
    </row>
    <row r="108" spans="1:9" s="8" customFormat="1" x14ac:dyDescent="0.2">
      <c r="A108" s="10">
        <v>22967</v>
      </c>
      <c r="B108" s="11">
        <v>42865</v>
      </c>
      <c r="C108" s="12">
        <v>247</v>
      </c>
      <c r="D108" s="12">
        <v>18.82</v>
      </c>
      <c r="E108" s="15"/>
      <c r="I108" s="16"/>
    </row>
    <row r="109" spans="1:9" s="8" customFormat="1" x14ac:dyDescent="0.2">
      <c r="A109" s="10">
        <v>22968</v>
      </c>
      <c r="B109" s="11">
        <v>42865</v>
      </c>
      <c r="C109" s="12">
        <v>220</v>
      </c>
      <c r="D109" s="12">
        <v>16.77</v>
      </c>
      <c r="E109" s="17"/>
      <c r="F109" s="134">
        <f>+C100+C96+159</f>
        <v>477.8</v>
      </c>
      <c r="G109" s="123">
        <f>+F109*0.97831</f>
        <v>467.43651800000004</v>
      </c>
      <c r="H109" s="253"/>
      <c r="I109" s="16"/>
    </row>
    <row r="110" spans="1:9" s="8" customFormat="1" x14ac:dyDescent="0.2">
      <c r="A110" s="10">
        <v>22969</v>
      </c>
      <c r="B110" s="11">
        <v>42866</v>
      </c>
      <c r="C110" s="12">
        <v>8.66</v>
      </c>
      <c r="D110" s="12">
        <v>0.66</v>
      </c>
      <c r="E110" s="17"/>
      <c r="F110" s="18"/>
      <c r="G110" s="19"/>
      <c r="H110" s="12"/>
      <c r="I110" s="16"/>
    </row>
    <row r="111" spans="1:9" s="8" customFormat="1" x14ac:dyDescent="0.2">
      <c r="A111" s="10">
        <v>22970</v>
      </c>
      <c r="B111" s="11">
        <v>42866</v>
      </c>
      <c r="C111" s="12">
        <v>165.55</v>
      </c>
      <c r="D111" s="12"/>
      <c r="E111" s="15" t="s">
        <v>60</v>
      </c>
      <c r="F111" s="21"/>
      <c r="G111" s="22"/>
      <c r="H111" s="10"/>
      <c r="I111" s="16"/>
    </row>
    <row r="112" spans="1:9" s="8" customFormat="1" x14ac:dyDescent="0.2">
      <c r="A112" s="10">
        <v>22971</v>
      </c>
      <c r="B112" s="11">
        <v>42866</v>
      </c>
      <c r="C112" s="12">
        <v>27.5</v>
      </c>
      <c r="D112" s="12"/>
      <c r="E112" s="15" t="s">
        <v>1017</v>
      </c>
      <c r="F112" s="21"/>
      <c r="G112" s="22"/>
      <c r="H112" s="10"/>
      <c r="I112" s="16"/>
    </row>
    <row r="113" spans="1:9" s="8" customFormat="1" x14ac:dyDescent="0.2">
      <c r="A113" s="10">
        <v>22972</v>
      </c>
      <c r="B113" s="11">
        <v>42866</v>
      </c>
      <c r="C113" s="12">
        <v>74.69</v>
      </c>
      <c r="D113" s="12">
        <v>5.69</v>
      </c>
      <c r="E113" s="15" t="s">
        <v>11</v>
      </c>
      <c r="F113" s="21"/>
      <c r="G113" s="22"/>
      <c r="H113" s="10"/>
      <c r="I113" s="16"/>
    </row>
    <row r="114" spans="1:9" s="8" customFormat="1" x14ac:dyDescent="0.2">
      <c r="A114" s="10">
        <v>22973</v>
      </c>
      <c r="B114" s="11">
        <v>42866</v>
      </c>
      <c r="C114" s="12">
        <v>6</v>
      </c>
      <c r="D114" s="12">
        <v>0.46</v>
      </c>
      <c r="E114" s="17"/>
      <c r="I114" s="16"/>
    </row>
    <row r="115" spans="1:9" s="8" customFormat="1" x14ac:dyDescent="0.2">
      <c r="A115" s="10">
        <v>22974</v>
      </c>
      <c r="B115" s="11">
        <v>42866</v>
      </c>
      <c r="C115" s="12">
        <v>7.58</v>
      </c>
      <c r="D115" s="12">
        <v>0.57999999999999996</v>
      </c>
      <c r="E115" s="15" t="s">
        <v>11</v>
      </c>
      <c r="F115" s="21"/>
      <c r="G115" s="22"/>
      <c r="H115" s="10"/>
      <c r="I115" s="16"/>
    </row>
    <row r="116" spans="1:9" s="8" customFormat="1" x14ac:dyDescent="0.2">
      <c r="A116" s="10">
        <v>22975</v>
      </c>
      <c r="B116" s="11">
        <v>42866</v>
      </c>
      <c r="C116" s="12">
        <v>12.94</v>
      </c>
      <c r="D116" s="12">
        <v>0.99</v>
      </c>
      <c r="E116" s="13"/>
      <c r="F116" s="18"/>
      <c r="G116" s="19"/>
      <c r="H116" s="12"/>
      <c r="I116" s="16"/>
    </row>
    <row r="117" spans="1:9" s="8" customFormat="1" x14ac:dyDescent="0.2">
      <c r="A117" s="10">
        <v>22976</v>
      </c>
      <c r="B117" s="11">
        <v>42866</v>
      </c>
      <c r="C117" s="12">
        <v>396</v>
      </c>
      <c r="D117" s="12">
        <v>30.18</v>
      </c>
      <c r="E117" s="15"/>
      <c r="F117" s="21"/>
      <c r="G117" s="22"/>
      <c r="H117" s="10"/>
      <c r="I117" s="16"/>
    </row>
    <row r="118" spans="1:9" s="8" customFormat="1" x14ac:dyDescent="0.2">
      <c r="A118" s="10">
        <v>22977</v>
      </c>
      <c r="B118" s="11">
        <v>42866</v>
      </c>
      <c r="C118" s="12">
        <v>260</v>
      </c>
      <c r="D118" s="12"/>
      <c r="E118" s="13" t="s">
        <v>1031</v>
      </c>
      <c r="I118" s="16"/>
    </row>
    <row r="119" spans="1:9" s="8" customFormat="1" x14ac:dyDescent="0.2">
      <c r="A119" s="10">
        <v>22978</v>
      </c>
      <c r="B119" s="11">
        <v>42866</v>
      </c>
      <c r="C119" s="12">
        <v>70</v>
      </c>
      <c r="D119" s="12">
        <v>5.34</v>
      </c>
      <c r="E119" s="15" t="s">
        <v>11</v>
      </c>
      <c r="I119" s="16"/>
    </row>
    <row r="120" spans="1:9" s="8" customFormat="1" x14ac:dyDescent="0.2">
      <c r="A120" s="10">
        <v>22979</v>
      </c>
      <c r="B120" s="11">
        <v>42866</v>
      </c>
      <c r="C120" s="12">
        <v>712.29</v>
      </c>
      <c r="D120" s="12">
        <v>54.29</v>
      </c>
      <c r="E120" s="15" t="s">
        <v>11</v>
      </c>
      <c r="F120" s="21"/>
      <c r="G120" s="22"/>
      <c r="H120" s="10"/>
      <c r="I120" s="16"/>
    </row>
    <row r="121" spans="1:9" s="8" customFormat="1" x14ac:dyDescent="0.2">
      <c r="A121" s="10">
        <v>22980</v>
      </c>
      <c r="B121" s="11">
        <v>42866</v>
      </c>
      <c r="C121" s="12">
        <v>200</v>
      </c>
      <c r="D121" s="12">
        <v>15.24</v>
      </c>
      <c r="E121" s="15" t="s">
        <v>11</v>
      </c>
      <c r="F121" s="21"/>
      <c r="G121" s="22"/>
      <c r="H121" s="10"/>
      <c r="I121" s="16"/>
    </row>
    <row r="122" spans="1:9" s="8" customFormat="1" x14ac:dyDescent="0.2">
      <c r="A122" s="10">
        <v>22981</v>
      </c>
      <c r="B122" s="11">
        <v>42866</v>
      </c>
      <c r="C122" s="12">
        <v>72</v>
      </c>
      <c r="D122" s="12"/>
      <c r="E122" s="15" t="s">
        <v>1017</v>
      </c>
      <c r="F122" s="134">
        <f>+C87+C113+C105+C106+C107+C115+C119+C121+C120</f>
        <v>1283.6500000000001</v>
      </c>
      <c r="G122" s="123">
        <f>+F122*0.97831</f>
        <v>1255.8076315000001</v>
      </c>
      <c r="H122" s="253"/>
      <c r="I122" s="16"/>
    </row>
    <row r="123" spans="1:9" s="8" customFormat="1" x14ac:dyDescent="0.2">
      <c r="A123" s="10">
        <v>22982</v>
      </c>
      <c r="B123" s="11">
        <v>42871</v>
      </c>
      <c r="C123" s="12">
        <v>163.46</v>
      </c>
      <c r="D123" s="12">
        <v>12.46</v>
      </c>
      <c r="E123" s="17"/>
      <c r="F123" s="18"/>
      <c r="G123" s="19"/>
      <c r="H123" s="12"/>
      <c r="I123" s="16"/>
    </row>
    <row r="124" spans="1:9" s="8" customFormat="1" x14ac:dyDescent="0.2">
      <c r="A124" s="10">
        <v>22983</v>
      </c>
      <c r="B124" s="11">
        <v>42871</v>
      </c>
      <c r="C124" s="12">
        <v>60</v>
      </c>
      <c r="D124" s="12">
        <v>4.57</v>
      </c>
      <c r="E124" s="17"/>
      <c r="F124" s="18"/>
      <c r="G124" s="19"/>
      <c r="H124" s="12"/>
      <c r="I124" s="16"/>
    </row>
    <row r="125" spans="1:9" s="8" customFormat="1" x14ac:dyDescent="0.2">
      <c r="A125" s="10">
        <v>22984</v>
      </c>
      <c r="B125" s="11">
        <v>42871</v>
      </c>
      <c r="C125" s="12">
        <v>60</v>
      </c>
      <c r="D125" s="12">
        <v>4.57</v>
      </c>
      <c r="E125" s="15" t="s">
        <v>11</v>
      </c>
      <c r="I125" s="16"/>
    </row>
    <row r="126" spans="1:9" s="8" customFormat="1" x14ac:dyDescent="0.2">
      <c r="A126" s="10">
        <v>22985</v>
      </c>
      <c r="B126" s="11">
        <v>42871</v>
      </c>
      <c r="C126" s="12">
        <v>216.5</v>
      </c>
      <c r="D126" s="12">
        <v>16.5</v>
      </c>
      <c r="E126" s="15" t="s">
        <v>11</v>
      </c>
      <c r="F126" s="21"/>
      <c r="G126" s="22"/>
      <c r="H126" s="10"/>
      <c r="I126" s="16"/>
    </row>
    <row r="127" spans="1:9" s="8" customFormat="1" x14ac:dyDescent="0.2">
      <c r="A127" s="10">
        <v>22986</v>
      </c>
      <c r="B127" s="11">
        <v>42871</v>
      </c>
      <c r="C127" s="12">
        <v>165</v>
      </c>
      <c r="D127" s="12">
        <v>12.57</v>
      </c>
      <c r="E127" s="15" t="s">
        <v>7</v>
      </c>
      <c r="F127" s="21"/>
      <c r="G127" s="22"/>
      <c r="H127" s="10"/>
      <c r="I127" s="16"/>
    </row>
    <row r="128" spans="1:9" s="8" customFormat="1" x14ac:dyDescent="0.2">
      <c r="A128" s="10">
        <v>22987</v>
      </c>
      <c r="B128" s="11">
        <v>42871</v>
      </c>
      <c r="C128" s="12">
        <v>9</v>
      </c>
      <c r="D128" s="12">
        <v>0.69</v>
      </c>
      <c r="E128" s="13"/>
      <c r="F128" s="18"/>
      <c r="G128" s="19"/>
      <c r="H128" s="12"/>
      <c r="I128" s="16"/>
    </row>
    <row r="129" spans="1:9" s="8" customFormat="1" x14ac:dyDescent="0.2">
      <c r="A129" s="10">
        <v>22988</v>
      </c>
      <c r="B129" s="11">
        <v>42871</v>
      </c>
      <c r="C129" s="12">
        <v>87.14</v>
      </c>
      <c r="D129" s="12">
        <v>6.64</v>
      </c>
      <c r="E129" s="15" t="s">
        <v>1032</v>
      </c>
      <c r="F129" s="21"/>
      <c r="G129" s="22"/>
      <c r="H129" s="10"/>
      <c r="I129" s="16"/>
    </row>
    <row r="130" spans="1:9" s="8" customFormat="1" x14ac:dyDescent="0.2">
      <c r="A130" s="10">
        <v>22989</v>
      </c>
      <c r="B130" s="11">
        <v>42871</v>
      </c>
      <c r="C130" s="12">
        <v>500.12</v>
      </c>
      <c r="D130" s="12">
        <v>38.119999999999997</v>
      </c>
      <c r="E130" s="15" t="s">
        <v>533</v>
      </c>
      <c r="I130" s="16"/>
    </row>
    <row r="131" spans="1:9" s="8" customFormat="1" x14ac:dyDescent="0.2">
      <c r="A131" s="10">
        <v>22990</v>
      </c>
      <c r="B131" s="11">
        <v>42871</v>
      </c>
      <c r="C131" s="12">
        <v>8.66</v>
      </c>
      <c r="D131" s="12">
        <v>0.66</v>
      </c>
      <c r="E131" s="17"/>
      <c r="I131" s="16"/>
    </row>
    <row r="132" spans="1:9" s="8" customFormat="1" x14ac:dyDescent="0.2">
      <c r="A132" s="10">
        <v>22991</v>
      </c>
      <c r="B132" s="11">
        <v>42871</v>
      </c>
      <c r="C132" s="12">
        <v>156.96</v>
      </c>
      <c r="D132" s="12">
        <v>11.96</v>
      </c>
      <c r="E132" s="17"/>
      <c r="I132" s="16"/>
    </row>
    <row r="133" spans="1:9" s="8" customFormat="1" x14ac:dyDescent="0.2">
      <c r="A133" s="10">
        <v>22992</v>
      </c>
      <c r="B133" s="11">
        <v>42871</v>
      </c>
      <c r="C133" s="12">
        <v>45</v>
      </c>
      <c r="D133" s="12">
        <v>3.43</v>
      </c>
      <c r="E133" s="15" t="s">
        <v>533</v>
      </c>
      <c r="F133" s="21"/>
      <c r="G133" s="22"/>
      <c r="H133" s="10"/>
      <c r="I133" s="16"/>
    </row>
    <row r="134" spans="1:9" s="8" customFormat="1" x14ac:dyDescent="0.2">
      <c r="A134" s="10">
        <v>22993</v>
      </c>
      <c r="B134" s="11">
        <v>42871</v>
      </c>
      <c r="C134" s="12">
        <v>30.5</v>
      </c>
      <c r="D134" s="12"/>
      <c r="E134" s="15" t="s">
        <v>1017</v>
      </c>
      <c r="F134" s="21"/>
      <c r="G134" s="22"/>
      <c r="H134" s="10"/>
      <c r="I134" s="16"/>
    </row>
    <row r="135" spans="1:9" s="8" customFormat="1" x14ac:dyDescent="0.2">
      <c r="A135" s="10">
        <v>22994</v>
      </c>
      <c r="B135" s="11">
        <v>42871</v>
      </c>
      <c r="C135" s="12">
        <v>10</v>
      </c>
      <c r="D135" s="12">
        <v>0.76</v>
      </c>
      <c r="E135" s="15" t="s">
        <v>11</v>
      </c>
      <c r="F135" s="134">
        <f>+C125+C126+65+C135</f>
        <v>351.5</v>
      </c>
      <c r="G135" s="123">
        <f>+F135*0.97831</f>
        <v>343.87596500000001</v>
      </c>
      <c r="H135" s="253" t="s">
        <v>1033</v>
      </c>
      <c r="I135" s="16"/>
    </row>
    <row r="136" spans="1:9" s="8" customFormat="1" x14ac:dyDescent="0.2">
      <c r="A136" s="10">
        <v>22995</v>
      </c>
      <c r="B136" s="11">
        <v>42872</v>
      </c>
      <c r="C136" s="12">
        <v>318.8</v>
      </c>
      <c r="D136" s="12">
        <v>24.3</v>
      </c>
      <c r="E136" s="13" t="s">
        <v>1034</v>
      </c>
      <c r="I136" s="16"/>
    </row>
    <row r="137" spans="1:9" s="8" customFormat="1" x14ac:dyDescent="0.2">
      <c r="A137" s="10">
        <v>22996</v>
      </c>
      <c r="B137" s="11">
        <v>42872</v>
      </c>
      <c r="C137" s="12">
        <v>235.99</v>
      </c>
      <c r="D137" s="12">
        <v>17.989999999999998</v>
      </c>
      <c r="E137" s="15" t="s">
        <v>533</v>
      </c>
      <c r="I137" s="16"/>
    </row>
    <row r="138" spans="1:9" s="8" customFormat="1" x14ac:dyDescent="0.2">
      <c r="A138" s="10">
        <v>22997</v>
      </c>
      <c r="B138" s="11">
        <v>42872</v>
      </c>
      <c r="C138" s="12">
        <v>92.01</v>
      </c>
      <c r="D138" s="12">
        <v>7.01</v>
      </c>
      <c r="E138" s="15" t="s">
        <v>11</v>
      </c>
      <c r="I138" s="16"/>
    </row>
    <row r="139" spans="1:9" s="8" customFormat="1" x14ac:dyDescent="0.2">
      <c r="A139" s="10">
        <v>22998</v>
      </c>
      <c r="B139" s="11">
        <v>42872</v>
      </c>
      <c r="C139" s="12">
        <v>119.08</v>
      </c>
      <c r="D139" s="12">
        <v>9.08</v>
      </c>
      <c r="E139" s="17"/>
      <c r="I139" s="16"/>
    </row>
    <row r="140" spans="1:9" s="8" customFormat="1" x14ac:dyDescent="0.2">
      <c r="A140" s="10">
        <v>22999</v>
      </c>
      <c r="B140" s="11">
        <v>42872</v>
      </c>
      <c r="C140" s="12">
        <v>25.8</v>
      </c>
      <c r="D140" s="12"/>
      <c r="E140" s="15" t="s">
        <v>17</v>
      </c>
      <c r="I140" s="16"/>
    </row>
    <row r="141" spans="1:9" s="8" customFormat="1" x14ac:dyDescent="0.2">
      <c r="A141" s="10">
        <v>23000</v>
      </c>
      <c r="B141" s="11">
        <v>42872</v>
      </c>
      <c r="C141" s="12">
        <v>14</v>
      </c>
      <c r="D141" s="12">
        <v>1.07</v>
      </c>
      <c r="E141" s="15" t="s">
        <v>11</v>
      </c>
      <c r="F141" s="21"/>
      <c r="G141" s="22"/>
      <c r="H141" s="10"/>
      <c r="I141" s="16"/>
    </row>
    <row r="142" spans="1:9" s="8" customFormat="1" x14ac:dyDescent="0.2">
      <c r="A142" s="10">
        <v>23001</v>
      </c>
      <c r="B142" s="11">
        <v>42872</v>
      </c>
      <c r="C142" s="12">
        <v>8.66</v>
      </c>
      <c r="D142" s="12">
        <v>0.66</v>
      </c>
      <c r="E142" s="15" t="s">
        <v>21</v>
      </c>
      <c r="F142" s="21"/>
      <c r="G142" s="22"/>
      <c r="H142" s="10"/>
      <c r="I142" s="16"/>
    </row>
    <row r="143" spans="1:9" s="8" customFormat="1" x14ac:dyDescent="0.2">
      <c r="A143" s="10">
        <v>23002</v>
      </c>
      <c r="B143" s="11">
        <v>42872</v>
      </c>
      <c r="C143" s="12">
        <v>12</v>
      </c>
      <c r="D143" s="12">
        <v>0.91</v>
      </c>
      <c r="E143" s="17"/>
      <c r="I143" s="16"/>
    </row>
    <row r="144" spans="1:9" s="8" customFormat="1" x14ac:dyDescent="0.2">
      <c r="A144" s="10">
        <v>23003</v>
      </c>
      <c r="B144" s="11">
        <v>42872</v>
      </c>
      <c r="C144" s="12">
        <v>122.32</v>
      </c>
      <c r="D144" s="12">
        <v>9.32</v>
      </c>
      <c r="E144" s="15" t="s">
        <v>26</v>
      </c>
      <c r="F144" s="21"/>
      <c r="G144" s="22"/>
      <c r="H144" s="10"/>
      <c r="I144" s="16"/>
    </row>
    <row r="145" spans="1:9" s="8" customFormat="1" x14ac:dyDescent="0.2">
      <c r="A145" s="10">
        <v>23004</v>
      </c>
      <c r="B145" s="11">
        <v>42872</v>
      </c>
      <c r="C145" s="12">
        <v>76.86</v>
      </c>
      <c r="D145" s="12">
        <v>5.86</v>
      </c>
      <c r="E145" s="17"/>
      <c r="I145" s="16"/>
    </row>
    <row r="146" spans="1:9" s="8" customFormat="1" x14ac:dyDescent="0.2">
      <c r="A146" s="10">
        <v>23005</v>
      </c>
      <c r="B146" s="11">
        <v>42872</v>
      </c>
      <c r="C146" s="12">
        <v>333.00000000000006</v>
      </c>
      <c r="D146" s="12">
        <v>25.38</v>
      </c>
      <c r="E146" s="15" t="s">
        <v>21</v>
      </c>
      <c r="F146" s="21"/>
      <c r="G146" s="22"/>
      <c r="H146" s="10"/>
      <c r="I146" s="16"/>
    </row>
    <row r="147" spans="1:9" s="8" customFormat="1" x14ac:dyDescent="0.2">
      <c r="A147" s="10">
        <v>23006</v>
      </c>
      <c r="B147" s="11">
        <v>42872</v>
      </c>
      <c r="C147" s="12">
        <v>197.96</v>
      </c>
      <c r="D147" s="12">
        <v>15.09</v>
      </c>
      <c r="E147" s="15" t="s">
        <v>1035</v>
      </c>
      <c r="I147" s="16"/>
    </row>
    <row r="148" spans="1:9" s="8" customFormat="1" x14ac:dyDescent="0.2">
      <c r="A148" s="10">
        <v>23007</v>
      </c>
      <c r="B148" s="11">
        <v>42872</v>
      </c>
      <c r="C148" s="12">
        <v>319</v>
      </c>
      <c r="D148" s="12"/>
      <c r="E148" s="15" t="s">
        <v>1036</v>
      </c>
      <c r="F148" s="21"/>
      <c r="G148" s="22"/>
      <c r="H148" s="10"/>
      <c r="I148" s="16"/>
    </row>
    <row r="149" spans="1:9" s="8" customFormat="1" x14ac:dyDescent="0.2">
      <c r="A149" s="10">
        <v>23008</v>
      </c>
      <c r="B149" s="11">
        <v>42872</v>
      </c>
      <c r="C149" s="12">
        <v>59.79</v>
      </c>
      <c r="D149" s="12"/>
      <c r="E149" s="15" t="s">
        <v>60</v>
      </c>
      <c r="I149" s="16"/>
    </row>
    <row r="150" spans="1:9" s="8" customFormat="1" x14ac:dyDescent="0.2">
      <c r="A150" s="10">
        <v>23009</v>
      </c>
      <c r="B150" s="11">
        <v>42872</v>
      </c>
      <c r="C150" s="12">
        <v>18</v>
      </c>
      <c r="D150" s="12">
        <v>1.37</v>
      </c>
      <c r="E150" s="17"/>
      <c r="I150" s="16"/>
    </row>
    <row r="151" spans="1:9" s="8" customFormat="1" x14ac:dyDescent="0.2">
      <c r="A151" s="10">
        <v>23010</v>
      </c>
      <c r="B151" s="11">
        <v>42872</v>
      </c>
      <c r="C151" s="12">
        <v>3.25</v>
      </c>
      <c r="D151" s="12">
        <v>0.25</v>
      </c>
      <c r="E151" s="17"/>
      <c r="F151" s="134">
        <f>+C138+C141</f>
        <v>106.01</v>
      </c>
      <c r="G151" s="123">
        <f>+F151*0.97831</f>
        <v>103.71064310000001</v>
      </c>
      <c r="H151" s="253" t="s">
        <v>1037</v>
      </c>
      <c r="I151" s="16"/>
    </row>
    <row r="152" spans="1:9" s="8" customFormat="1" x14ac:dyDescent="0.2">
      <c r="A152" s="10">
        <v>23011</v>
      </c>
      <c r="B152" s="11">
        <v>42873</v>
      </c>
      <c r="C152" s="12">
        <v>35</v>
      </c>
      <c r="D152" s="12">
        <v>2.67</v>
      </c>
      <c r="E152" s="15" t="s">
        <v>13</v>
      </c>
      <c r="I152" s="16"/>
    </row>
    <row r="153" spans="1:9" s="8" customFormat="1" x14ac:dyDescent="0.2">
      <c r="A153" s="10">
        <v>23012</v>
      </c>
      <c r="B153" s="11">
        <v>42873</v>
      </c>
      <c r="C153" s="12">
        <v>162.75</v>
      </c>
      <c r="D153" s="12"/>
      <c r="E153" s="15" t="s">
        <v>60</v>
      </c>
      <c r="I153" s="16"/>
    </row>
    <row r="154" spans="1:9" s="8" customFormat="1" x14ac:dyDescent="0.2">
      <c r="A154" s="10">
        <v>23013</v>
      </c>
      <c r="B154" s="11">
        <v>42873</v>
      </c>
      <c r="C154" s="12">
        <v>39</v>
      </c>
      <c r="D154" s="12"/>
      <c r="E154" s="15" t="s">
        <v>60</v>
      </c>
      <c r="F154" s="21"/>
      <c r="G154" s="22"/>
      <c r="H154" s="10"/>
      <c r="I154" s="16"/>
    </row>
    <row r="155" spans="1:9" s="8" customFormat="1" x14ac:dyDescent="0.2">
      <c r="A155" s="10">
        <v>23014</v>
      </c>
      <c r="B155" s="11">
        <v>42873</v>
      </c>
      <c r="C155" s="12">
        <v>207.62</v>
      </c>
      <c r="D155" s="12">
        <v>15.82</v>
      </c>
      <c r="E155" s="15" t="s">
        <v>11</v>
      </c>
      <c r="I155" s="16"/>
    </row>
    <row r="156" spans="1:9" s="8" customFormat="1" x14ac:dyDescent="0.2">
      <c r="A156" s="10">
        <v>23015</v>
      </c>
      <c r="B156" s="11">
        <v>42873</v>
      </c>
      <c r="C156" s="12">
        <v>129.9</v>
      </c>
      <c r="D156" s="12">
        <v>9.9</v>
      </c>
      <c r="E156" s="15" t="s">
        <v>11</v>
      </c>
      <c r="I156" s="16"/>
    </row>
    <row r="157" spans="1:9" s="8" customFormat="1" x14ac:dyDescent="0.2">
      <c r="A157" s="10">
        <v>23016</v>
      </c>
      <c r="B157" s="11">
        <v>42873</v>
      </c>
      <c r="C157" s="12"/>
      <c r="D157" s="12"/>
      <c r="E157" s="15" t="s">
        <v>1038</v>
      </c>
      <c r="I157" s="16"/>
    </row>
    <row r="158" spans="1:9" s="8" customFormat="1" x14ac:dyDescent="0.2">
      <c r="A158" s="10">
        <v>23017</v>
      </c>
      <c r="B158" s="11">
        <v>42873</v>
      </c>
      <c r="C158" s="12">
        <v>84.16</v>
      </c>
      <c r="D158" s="12">
        <v>6.41</v>
      </c>
      <c r="E158" s="15" t="s">
        <v>533</v>
      </c>
      <c r="F158" s="21"/>
      <c r="G158" s="22"/>
      <c r="H158" s="10"/>
      <c r="I158" s="16"/>
    </row>
    <row r="159" spans="1:9" s="8" customFormat="1" x14ac:dyDescent="0.2">
      <c r="A159" s="10">
        <v>23018</v>
      </c>
      <c r="B159" s="11">
        <v>42873</v>
      </c>
      <c r="C159" s="12">
        <v>12.9</v>
      </c>
      <c r="D159" s="12"/>
      <c r="E159" s="15" t="s">
        <v>60</v>
      </c>
      <c r="I159" s="16"/>
    </row>
    <row r="160" spans="1:9" s="8" customFormat="1" x14ac:dyDescent="0.2">
      <c r="A160" s="10">
        <v>23019</v>
      </c>
      <c r="B160" s="11">
        <v>42873</v>
      </c>
      <c r="C160" s="12">
        <v>25</v>
      </c>
      <c r="D160" s="12"/>
      <c r="E160" s="15" t="s">
        <v>1017</v>
      </c>
      <c r="I160" s="16"/>
    </row>
    <row r="161" spans="1:9" s="8" customFormat="1" x14ac:dyDescent="0.2">
      <c r="A161" s="10">
        <v>23020</v>
      </c>
      <c r="B161" s="11">
        <v>42873</v>
      </c>
      <c r="C161" s="12">
        <v>111.82</v>
      </c>
      <c r="D161" s="12">
        <v>8.52</v>
      </c>
      <c r="E161" s="17"/>
      <c r="F161" s="134">
        <f>+C152+C155+C156+C140</f>
        <v>398.32</v>
      </c>
      <c r="G161" s="123">
        <f>+F161*0.97831</f>
        <v>389.68043920000002</v>
      </c>
      <c r="H161" s="253" t="s">
        <v>1039</v>
      </c>
      <c r="I161" s="16"/>
    </row>
    <row r="162" spans="1:9" s="8" customFormat="1" x14ac:dyDescent="0.2">
      <c r="A162" s="10">
        <v>23021</v>
      </c>
      <c r="B162" s="11">
        <v>42874</v>
      </c>
      <c r="C162" s="12">
        <v>-68.2</v>
      </c>
      <c r="D162" s="12">
        <v>-5.2</v>
      </c>
      <c r="E162" s="15" t="s">
        <v>1017</v>
      </c>
      <c r="I162" s="16"/>
    </row>
    <row r="163" spans="1:9" s="8" customFormat="1" x14ac:dyDescent="0.2">
      <c r="A163" s="10">
        <v>23022</v>
      </c>
      <c r="B163" s="11">
        <v>42874</v>
      </c>
      <c r="C163" s="12">
        <v>284.7</v>
      </c>
      <c r="D163" s="12">
        <v>21.7</v>
      </c>
      <c r="E163" s="15" t="s">
        <v>1040</v>
      </c>
      <c r="F163" s="21"/>
      <c r="G163" s="22"/>
      <c r="H163" s="10"/>
      <c r="I163" s="16"/>
    </row>
    <row r="164" spans="1:9" s="8" customFormat="1" x14ac:dyDescent="0.2">
      <c r="A164" s="10">
        <v>23023</v>
      </c>
      <c r="B164" s="11">
        <v>42874</v>
      </c>
      <c r="C164" s="12">
        <v>105</v>
      </c>
      <c r="D164" s="12">
        <v>8</v>
      </c>
      <c r="E164" s="17"/>
      <c r="F164" s="18"/>
      <c r="G164" s="19"/>
      <c r="H164" s="12"/>
      <c r="I164" s="16"/>
    </row>
    <row r="165" spans="1:9" s="8" customFormat="1" x14ac:dyDescent="0.2">
      <c r="A165" s="10">
        <v>23024</v>
      </c>
      <c r="B165" s="11">
        <v>42874</v>
      </c>
      <c r="C165" s="12">
        <v>145</v>
      </c>
      <c r="D165" s="12">
        <v>11.05</v>
      </c>
      <c r="E165" s="13" t="s">
        <v>1041</v>
      </c>
      <c r="I165" s="16"/>
    </row>
    <row r="166" spans="1:9" s="8" customFormat="1" x14ac:dyDescent="0.2">
      <c r="A166" s="10">
        <v>23025</v>
      </c>
      <c r="B166" s="11">
        <v>42874</v>
      </c>
      <c r="C166" s="12">
        <v>16</v>
      </c>
      <c r="D166" s="12">
        <v>1.22</v>
      </c>
      <c r="E166" s="15" t="s">
        <v>11</v>
      </c>
      <c r="F166" s="21"/>
      <c r="G166" s="22"/>
      <c r="H166" s="10"/>
      <c r="I166" s="16"/>
    </row>
    <row r="167" spans="1:9" s="8" customFormat="1" x14ac:dyDescent="0.2">
      <c r="A167" s="10">
        <v>23026</v>
      </c>
      <c r="B167" s="11">
        <v>42874</v>
      </c>
      <c r="C167" s="12">
        <v>222.45</v>
      </c>
      <c r="D167" s="12">
        <v>16.95</v>
      </c>
      <c r="E167" s="15" t="s">
        <v>533</v>
      </c>
      <c r="F167" s="21"/>
      <c r="G167" s="22"/>
      <c r="H167" s="10"/>
      <c r="I167" s="16"/>
    </row>
    <row r="168" spans="1:9" s="8" customFormat="1" x14ac:dyDescent="0.2">
      <c r="A168" s="10">
        <v>23027</v>
      </c>
      <c r="B168" s="11">
        <v>42874</v>
      </c>
      <c r="C168" s="12">
        <v>316.17</v>
      </c>
      <c r="D168" s="12">
        <v>28.67</v>
      </c>
      <c r="E168" s="15" t="s">
        <v>11</v>
      </c>
      <c r="I168" s="16"/>
    </row>
    <row r="169" spans="1:9" s="8" customFormat="1" x14ac:dyDescent="0.2">
      <c r="A169" s="10">
        <v>23028</v>
      </c>
      <c r="B169" s="11">
        <v>42874</v>
      </c>
      <c r="C169" s="12">
        <v>249.52</v>
      </c>
      <c r="D169" s="12">
        <v>19.02</v>
      </c>
      <c r="E169" s="15" t="s">
        <v>533</v>
      </c>
      <c r="F169" s="134">
        <f>250+C166+406.17+18.8</f>
        <v>690.97</v>
      </c>
      <c r="G169" s="123">
        <f>+F169*0.97831</f>
        <v>675.98286070000006</v>
      </c>
      <c r="H169" s="253" t="s">
        <v>1042</v>
      </c>
      <c r="I169" s="16"/>
    </row>
    <row r="170" spans="1:9" s="8" customFormat="1" x14ac:dyDescent="0.2">
      <c r="A170" s="10">
        <v>23029</v>
      </c>
      <c r="B170" s="11">
        <v>42875</v>
      </c>
      <c r="C170" s="12">
        <v>8</v>
      </c>
      <c r="D170" s="12">
        <v>0.61</v>
      </c>
      <c r="E170" s="17"/>
      <c r="F170" s="18"/>
      <c r="G170" s="19"/>
      <c r="H170" s="12"/>
      <c r="I170" s="16"/>
    </row>
    <row r="171" spans="1:9" s="8" customFormat="1" x14ac:dyDescent="0.2">
      <c r="A171" s="10">
        <v>23030</v>
      </c>
      <c r="B171" s="11">
        <v>42875</v>
      </c>
      <c r="C171" s="12">
        <v>210.55</v>
      </c>
      <c r="D171" s="12">
        <v>16.05</v>
      </c>
      <c r="E171" s="15" t="s">
        <v>533</v>
      </c>
      <c r="F171" s="21"/>
      <c r="G171" s="22"/>
      <c r="H171" s="10"/>
      <c r="I171" s="16"/>
    </row>
    <row r="172" spans="1:9" s="8" customFormat="1" x14ac:dyDescent="0.2">
      <c r="A172" s="10">
        <v>23031</v>
      </c>
      <c r="B172" s="11">
        <v>42875</v>
      </c>
      <c r="C172" s="12">
        <v>29</v>
      </c>
      <c r="D172" s="12">
        <v>2.21</v>
      </c>
      <c r="E172" s="15" t="s">
        <v>11</v>
      </c>
      <c r="I172" s="16"/>
    </row>
    <row r="173" spans="1:9" s="8" customFormat="1" x14ac:dyDescent="0.2">
      <c r="A173" s="10">
        <v>23032</v>
      </c>
      <c r="B173" s="11">
        <v>42875</v>
      </c>
      <c r="C173" s="12">
        <v>47.63</v>
      </c>
      <c r="D173" s="12">
        <v>3.63</v>
      </c>
      <c r="E173" s="15" t="s">
        <v>26</v>
      </c>
      <c r="F173" s="21"/>
      <c r="G173" s="22"/>
      <c r="H173" s="10"/>
      <c r="I173" s="16"/>
    </row>
    <row r="174" spans="1:9" s="8" customFormat="1" x14ac:dyDescent="0.2">
      <c r="A174" s="10">
        <v>23033</v>
      </c>
      <c r="B174" s="11">
        <v>42875</v>
      </c>
      <c r="C174" s="12">
        <v>85.52</v>
      </c>
      <c r="D174" s="12">
        <v>6.52</v>
      </c>
      <c r="E174" s="15" t="s">
        <v>1043</v>
      </c>
      <c r="I174" s="16"/>
    </row>
    <row r="175" spans="1:9" s="8" customFormat="1" x14ac:dyDescent="0.2">
      <c r="A175" s="10">
        <v>23034</v>
      </c>
      <c r="B175" s="11">
        <v>42875</v>
      </c>
      <c r="C175" s="12">
        <v>136</v>
      </c>
      <c r="D175" s="12"/>
      <c r="E175" s="15" t="s">
        <v>60</v>
      </c>
      <c r="I175" s="16"/>
    </row>
    <row r="176" spans="1:9" s="8" customFormat="1" x14ac:dyDescent="0.2">
      <c r="A176" s="10">
        <v>23035</v>
      </c>
      <c r="B176" s="11">
        <v>42875</v>
      </c>
      <c r="C176" s="12">
        <v>111.7</v>
      </c>
      <c r="D176" s="12"/>
      <c r="E176" s="15" t="s">
        <v>60</v>
      </c>
      <c r="I176" s="16"/>
    </row>
    <row r="177" spans="1:28" s="8" customFormat="1" x14ac:dyDescent="0.2">
      <c r="A177" s="10">
        <v>23036</v>
      </c>
      <c r="B177" s="11">
        <v>42875</v>
      </c>
      <c r="C177" s="12">
        <v>454.65</v>
      </c>
      <c r="D177" s="12">
        <v>34.65</v>
      </c>
      <c r="E177" s="15" t="s">
        <v>1044</v>
      </c>
      <c r="I177" s="16"/>
    </row>
    <row r="178" spans="1:28" s="8" customFormat="1" x14ac:dyDescent="0.2">
      <c r="A178" s="10">
        <v>23037</v>
      </c>
      <c r="B178" s="11">
        <v>42875</v>
      </c>
      <c r="C178" s="12">
        <v>79.02</v>
      </c>
      <c r="D178" s="12">
        <v>6.02</v>
      </c>
      <c r="E178" s="15" t="s">
        <v>21</v>
      </c>
      <c r="I178" s="16"/>
    </row>
    <row r="179" spans="1:28" s="8" customFormat="1" x14ac:dyDescent="0.2">
      <c r="A179" s="10">
        <v>23038</v>
      </c>
      <c r="B179" s="11">
        <v>42875</v>
      </c>
      <c r="C179" s="12">
        <v>37.89</v>
      </c>
      <c r="D179" s="12">
        <v>2.89</v>
      </c>
      <c r="E179" s="17"/>
      <c r="F179" s="18"/>
      <c r="G179" s="19"/>
      <c r="H179" s="12"/>
      <c r="I179" s="16"/>
    </row>
    <row r="180" spans="1:28" s="8" customFormat="1" x14ac:dyDescent="0.2">
      <c r="A180" s="10">
        <v>23039</v>
      </c>
      <c r="B180" s="11">
        <v>42875</v>
      </c>
      <c r="C180" s="12">
        <v>97.43</v>
      </c>
      <c r="D180" s="12">
        <v>7.43</v>
      </c>
      <c r="E180" s="15" t="s">
        <v>11</v>
      </c>
      <c r="F180" s="134">
        <f>+C172+40+C180</f>
        <v>166.43</v>
      </c>
      <c r="G180" s="123">
        <f>+F180*0.97831</f>
        <v>162.82013330000001</v>
      </c>
      <c r="H180" s="253" t="s">
        <v>1045</v>
      </c>
      <c r="I180" s="16"/>
    </row>
    <row r="181" spans="1:28" s="8" customFormat="1" x14ac:dyDescent="0.2">
      <c r="A181" s="10">
        <v>23040</v>
      </c>
      <c r="B181" s="11">
        <v>42877</v>
      </c>
      <c r="C181" s="12">
        <v>16.239999999999998</v>
      </c>
      <c r="D181" s="12">
        <v>1.24</v>
      </c>
      <c r="E181" s="15" t="s">
        <v>11</v>
      </c>
      <c r="I181" s="16"/>
    </row>
    <row r="182" spans="1:28" s="8" customFormat="1" x14ac:dyDescent="0.2">
      <c r="A182" s="10">
        <v>23041</v>
      </c>
      <c r="B182" s="11">
        <v>42877</v>
      </c>
      <c r="C182" s="12">
        <v>160</v>
      </c>
      <c r="D182" s="12">
        <v>12.19</v>
      </c>
      <c r="E182" s="17"/>
      <c r="I182" s="16"/>
    </row>
    <row r="183" spans="1:28" s="8" customFormat="1" x14ac:dyDescent="0.2">
      <c r="A183" s="10">
        <v>23042</v>
      </c>
      <c r="B183" s="11">
        <v>42877</v>
      </c>
      <c r="C183" s="12">
        <v>131.52000000000001</v>
      </c>
      <c r="D183" s="12">
        <v>10.02</v>
      </c>
      <c r="E183" s="17"/>
      <c r="F183" s="18"/>
      <c r="G183" s="19"/>
      <c r="H183" s="12"/>
      <c r="I183" s="16"/>
    </row>
    <row r="184" spans="1:28" s="8" customFormat="1" x14ac:dyDescent="0.2">
      <c r="A184" s="10">
        <v>23043</v>
      </c>
      <c r="B184" s="11">
        <v>42877</v>
      </c>
      <c r="C184" s="12">
        <v>65</v>
      </c>
      <c r="D184" s="12">
        <v>4.95</v>
      </c>
      <c r="E184" s="17"/>
      <c r="F184" s="18"/>
      <c r="G184" s="19"/>
      <c r="H184" s="12"/>
      <c r="I184" s="16"/>
    </row>
    <row r="185" spans="1:28" s="8" customFormat="1" x14ac:dyDescent="0.2">
      <c r="A185" s="10">
        <v>23044</v>
      </c>
      <c r="B185" s="11">
        <v>42877</v>
      </c>
      <c r="C185" s="12">
        <v>245.73</v>
      </c>
      <c r="D185" s="12">
        <v>18.73</v>
      </c>
      <c r="E185" s="13"/>
      <c r="I185" s="16"/>
    </row>
    <row r="186" spans="1:28" s="8" customFormat="1" x14ac:dyDescent="0.2">
      <c r="A186" s="10">
        <v>23045</v>
      </c>
      <c r="B186" s="11">
        <v>42877</v>
      </c>
      <c r="C186" s="12">
        <v>120</v>
      </c>
      <c r="D186" s="12"/>
      <c r="E186" s="15" t="s">
        <v>60</v>
      </c>
      <c r="I186" s="16"/>
    </row>
    <row r="187" spans="1:28" s="8" customFormat="1" x14ac:dyDescent="0.2">
      <c r="A187" s="10">
        <v>23046</v>
      </c>
      <c r="B187" s="11">
        <v>42877</v>
      </c>
      <c r="C187" s="12">
        <v>290.89</v>
      </c>
      <c r="D187" s="12"/>
      <c r="E187" s="15" t="s">
        <v>60</v>
      </c>
      <c r="I187" s="16"/>
    </row>
    <row r="188" spans="1:28" s="8" customFormat="1" x14ac:dyDescent="0.2">
      <c r="A188" s="10">
        <v>23047</v>
      </c>
      <c r="B188" s="11">
        <v>42877</v>
      </c>
      <c r="C188" s="12">
        <v>87</v>
      </c>
      <c r="D188" s="12"/>
      <c r="E188" s="15" t="s">
        <v>1017</v>
      </c>
      <c r="F188" s="21"/>
      <c r="G188" s="22"/>
      <c r="H188" s="10"/>
      <c r="I188" s="16"/>
    </row>
    <row r="189" spans="1:28" x14ac:dyDescent="0.2">
      <c r="A189" s="10">
        <v>23048</v>
      </c>
      <c r="B189" s="11">
        <v>42877</v>
      </c>
      <c r="C189" s="12">
        <v>12.99</v>
      </c>
      <c r="D189" s="12">
        <v>0.99</v>
      </c>
      <c r="E189" s="15" t="s">
        <v>533</v>
      </c>
      <c r="F189" s="10"/>
      <c r="G189" s="10"/>
      <c r="H189" s="188"/>
      <c r="I189" s="229"/>
      <c r="J189" s="211"/>
      <c r="K189" s="21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x14ac:dyDescent="0.2">
      <c r="A190" s="10">
        <v>23049</v>
      </c>
      <c r="B190" s="11">
        <v>42877</v>
      </c>
      <c r="C190" s="12">
        <v>69.28</v>
      </c>
      <c r="D190" s="12">
        <v>5.28</v>
      </c>
      <c r="E190" s="15" t="s">
        <v>533</v>
      </c>
      <c r="F190" s="10"/>
      <c r="G190" s="10"/>
      <c r="H190" s="183"/>
      <c r="I190" s="229"/>
      <c r="J190" s="211"/>
      <c r="K190" s="21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x14ac:dyDescent="0.2">
      <c r="A191" s="10">
        <v>23050</v>
      </c>
      <c r="B191" s="11">
        <v>42877</v>
      </c>
      <c r="C191" s="12">
        <v>285</v>
      </c>
      <c r="D191" s="12">
        <v>21.72</v>
      </c>
      <c r="E191" s="13" t="s">
        <v>1046</v>
      </c>
      <c r="I191" s="229"/>
      <c r="J191" s="211"/>
      <c r="K191" s="21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x14ac:dyDescent="0.2">
      <c r="A192" s="10">
        <v>23051</v>
      </c>
      <c r="B192" s="11">
        <v>42877</v>
      </c>
      <c r="C192" s="12">
        <v>119.08</v>
      </c>
      <c r="D192" s="12">
        <v>9.08</v>
      </c>
      <c r="E192" s="13" t="s">
        <v>1047</v>
      </c>
      <c r="F192" s="134">
        <f>+C181+19.08</f>
        <v>35.319999999999993</v>
      </c>
      <c r="G192" s="123">
        <f>+F192*0.97831</f>
        <v>34.553909199999993</v>
      </c>
      <c r="H192" s="253" t="s">
        <v>1048</v>
      </c>
      <c r="I192" s="229"/>
      <c r="J192" s="211"/>
      <c r="K192" s="21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x14ac:dyDescent="0.2">
      <c r="A193" s="10">
        <v>23052</v>
      </c>
      <c r="B193" s="11">
        <v>42878</v>
      </c>
      <c r="C193" s="12">
        <v>15.003449999999999</v>
      </c>
      <c r="D193" s="12">
        <v>1.1434500000000001</v>
      </c>
      <c r="E193" s="15" t="s">
        <v>7</v>
      </c>
      <c r="F193" s="21"/>
      <c r="G193" s="22"/>
      <c r="H193" s="10"/>
      <c r="I193" s="229"/>
      <c r="J193" s="211"/>
      <c r="K193" s="21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x14ac:dyDescent="0.2">
      <c r="A194" s="10">
        <v>23053</v>
      </c>
      <c r="B194" s="11">
        <v>42878</v>
      </c>
      <c r="C194" s="12">
        <v>25.5</v>
      </c>
      <c r="D194" s="12"/>
      <c r="E194" s="13" t="s">
        <v>8</v>
      </c>
      <c r="I194" s="229"/>
      <c r="J194" s="211"/>
      <c r="K194" s="21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x14ac:dyDescent="0.2">
      <c r="A195" s="10">
        <v>23054</v>
      </c>
      <c r="B195" s="11">
        <v>42878</v>
      </c>
      <c r="C195" s="12">
        <v>7.58</v>
      </c>
      <c r="D195" s="12">
        <v>0.57999999999999996</v>
      </c>
      <c r="E195" s="15" t="s">
        <v>11</v>
      </c>
      <c r="I195" s="229"/>
      <c r="J195" s="211"/>
      <c r="K195" s="21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x14ac:dyDescent="0.2">
      <c r="A196" s="10">
        <v>23055</v>
      </c>
      <c r="B196" s="11">
        <v>42878</v>
      </c>
      <c r="C196" s="12">
        <v>93.1</v>
      </c>
      <c r="D196" s="12">
        <v>7.1</v>
      </c>
      <c r="E196" s="15" t="s">
        <v>21</v>
      </c>
      <c r="F196" s="21"/>
      <c r="G196" s="22"/>
      <c r="H196" s="10"/>
      <c r="I196" s="229"/>
      <c r="J196" s="211"/>
      <c r="K196" s="21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x14ac:dyDescent="0.2">
      <c r="A197" s="10">
        <v>23056</v>
      </c>
      <c r="B197" s="11">
        <v>42878</v>
      </c>
      <c r="C197" s="12">
        <v>119.08</v>
      </c>
      <c r="D197" s="12">
        <v>9.08</v>
      </c>
      <c r="E197" s="15" t="s">
        <v>1049</v>
      </c>
      <c r="I197" s="229"/>
      <c r="J197" s="211"/>
      <c r="K197" s="21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x14ac:dyDescent="0.2">
      <c r="A198" s="10">
        <v>23057</v>
      </c>
      <c r="B198" s="11">
        <v>42878</v>
      </c>
      <c r="C198" s="12">
        <v>241</v>
      </c>
      <c r="D198" s="12"/>
      <c r="E198" s="15" t="s">
        <v>1050</v>
      </c>
      <c r="F198" s="134">
        <f>+C193+C195+C197</f>
        <v>141.66345000000001</v>
      </c>
      <c r="G198" s="123">
        <f>+F198*0.97831</f>
        <v>138.59076976950001</v>
      </c>
      <c r="H198" s="253"/>
      <c r="I198" s="229"/>
      <c r="J198" s="211"/>
      <c r="K198" s="21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x14ac:dyDescent="0.2">
      <c r="A199" s="10">
        <v>23058</v>
      </c>
      <c r="B199" s="11">
        <v>42879</v>
      </c>
      <c r="C199" s="12">
        <v>256</v>
      </c>
      <c r="D199" s="12">
        <v>19.510000000000002</v>
      </c>
      <c r="E199" s="15"/>
      <c r="I199" s="229"/>
      <c r="J199" s="211"/>
      <c r="K199" s="21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x14ac:dyDescent="0.2">
      <c r="A200" s="10">
        <v>23059</v>
      </c>
      <c r="B200" s="11">
        <v>42879</v>
      </c>
      <c r="C200" s="12">
        <v>180.24</v>
      </c>
      <c r="D200" s="12">
        <v>13.74</v>
      </c>
      <c r="E200" s="15" t="s">
        <v>533</v>
      </c>
      <c r="I200" s="229"/>
      <c r="J200" s="211"/>
      <c r="K200" s="21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x14ac:dyDescent="0.2">
      <c r="A201" s="10">
        <v>23060</v>
      </c>
      <c r="B201" s="11">
        <v>42879</v>
      </c>
      <c r="C201" s="12">
        <v>10.83</v>
      </c>
      <c r="D201" s="12">
        <v>0.83</v>
      </c>
      <c r="E201" s="15" t="s">
        <v>11</v>
      </c>
      <c r="I201" s="229"/>
      <c r="J201" s="211"/>
      <c r="K201" s="21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x14ac:dyDescent="0.2">
      <c r="A202" s="10">
        <v>23061</v>
      </c>
      <c r="B202" s="11">
        <v>42879</v>
      </c>
      <c r="C202" s="12">
        <v>20.57</v>
      </c>
      <c r="D202" s="12">
        <v>1.57</v>
      </c>
      <c r="E202" s="15" t="s">
        <v>533</v>
      </c>
      <c r="I202" s="229"/>
      <c r="J202" s="211"/>
      <c r="K202" s="21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x14ac:dyDescent="0.2">
      <c r="A203" s="10">
        <v>23062</v>
      </c>
      <c r="B203" s="11">
        <v>42879</v>
      </c>
      <c r="C203" s="12">
        <v>6</v>
      </c>
      <c r="D203" s="12"/>
      <c r="E203" s="13" t="s">
        <v>684</v>
      </c>
      <c r="F203" s="18"/>
      <c r="G203" s="19"/>
      <c r="H203" s="12"/>
      <c r="I203" s="229"/>
      <c r="J203" s="211"/>
      <c r="K203" s="21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x14ac:dyDescent="0.2">
      <c r="A204" s="10">
        <v>23063</v>
      </c>
      <c r="B204" s="11">
        <v>42879</v>
      </c>
      <c r="C204" s="12">
        <v>7</v>
      </c>
      <c r="D204" s="12">
        <v>0.54</v>
      </c>
      <c r="E204" s="17"/>
      <c r="F204" s="18"/>
      <c r="G204" s="19"/>
      <c r="H204" s="12"/>
      <c r="I204" s="229"/>
      <c r="J204" s="211"/>
      <c r="K204" s="21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x14ac:dyDescent="0.2">
      <c r="A205" s="10">
        <v>23064</v>
      </c>
      <c r="B205" s="11">
        <v>42879</v>
      </c>
      <c r="C205" s="12">
        <v>15.7</v>
      </c>
      <c r="D205" s="12">
        <v>1.2</v>
      </c>
      <c r="E205" s="15" t="s">
        <v>7</v>
      </c>
      <c r="F205" s="21"/>
      <c r="G205" s="22"/>
      <c r="H205" s="10"/>
      <c r="I205" s="229"/>
      <c r="J205" s="211"/>
      <c r="K205" s="21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x14ac:dyDescent="0.2">
      <c r="A206" s="10">
        <v>23065</v>
      </c>
      <c r="B206" s="11">
        <v>42879</v>
      </c>
      <c r="C206" s="12">
        <v>17.32</v>
      </c>
      <c r="D206" s="12">
        <v>1.32</v>
      </c>
      <c r="E206" s="15" t="s">
        <v>11</v>
      </c>
      <c r="I206" s="229"/>
      <c r="J206" s="211"/>
      <c r="K206" s="21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x14ac:dyDescent="0.2">
      <c r="A207" s="10">
        <v>23066</v>
      </c>
      <c r="B207" s="11">
        <v>42879</v>
      </c>
      <c r="C207" s="12">
        <v>204.05</v>
      </c>
      <c r="D207" s="12">
        <v>15.55</v>
      </c>
      <c r="E207" s="15" t="s">
        <v>21</v>
      </c>
      <c r="F207" s="21"/>
      <c r="G207" s="22"/>
      <c r="H207" s="10"/>
      <c r="I207" s="229"/>
      <c r="J207" s="211"/>
      <c r="K207" s="21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x14ac:dyDescent="0.2">
      <c r="A208" s="10">
        <v>23067</v>
      </c>
      <c r="B208" s="11">
        <v>42879</v>
      </c>
      <c r="C208" s="12">
        <v>398.9</v>
      </c>
      <c r="D208" s="12"/>
      <c r="E208" s="15" t="s">
        <v>60</v>
      </c>
      <c r="I208" s="229"/>
      <c r="J208" s="211"/>
      <c r="K208" s="21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x14ac:dyDescent="0.2">
      <c r="A209" s="10">
        <v>23068</v>
      </c>
      <c r="B209" s="11">
        <v>42879</v>
      </c>
      <c r="C209" s="12">
        <v>45</v>
      </c>
      <c r="D209" s="12">
        <v>3.43</v>
      </c>
      <c r="E209" s="15" t="s">
        <v>1051</v>
      </c>
      <c r="F209" s="21"/>
      <c r="G209" s="22"/>
      <c r="H209" s="10"/>
      <c r="I209" s="229"/>
      <c r="J209" s="211"/>
      <c r="K209" s="21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x14ac:dyDescent="0.2">
      <c r="A210" s="10">
        <v>23069</v>
      </c>
      <c r="B210" s="11">
        <v>42879</v>
      </c>
      <c r="C210" s="12">
        <v>86.6</v>
      </c>
      <c r="D210" s="12">
        <v>6.6</v>
      </c>
      <c r="E210" s="15" t="s">
        <v>1052</v>
      </c>
      <c r="F210" s="21"/>
      <c r="G210" s="22"/>
      <c r="H210" s="10"/>
      <c r="I210" s="229"/>
      <c r="J210" s="211"/>
      <c r="K210" s="21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x14ac:dyDescent="0.2">
      <c r="A211" s="10">
        <v>23070</v>
      </c>
      <c r="B211" s="11">
        <v>42879</v>
      </c>
      <c r="C211" s="12">
        <v>-117</v>
      </c>
      <c r="D211" s="12">
        <v>-8.1</v>
      </c>
      <c r="E211" s="13" t="s">
        <v>1053</v>
      </c>
      <c r="F211" s="134">
        <f>+C201+C205+C206</f>
        <v>43.85</v>
      </c>
      <c r="G211" s="123">
        <f>+F211*0.97831</f>
        <v>42.8988935</v>
      </c>
      <c r="H211" s="253" t="s">
        <v>1054</v>
      </c>
      <c r="I211" s="229"/>
      <c r="J211" s="211"/>
      <c r="K211" s="21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x14ac:dyDescent="0.2">
      <c r="A212" s="10">
        <v>23071</v>
      </c>
      <c r="B212" s="11">
        <v>42880</v>
      </c>
      <c r="C212" s="12">
        <v>107.17</v>
      </c>
      <c r="D212" s="12">
        <v>8.17</v>
      </c>
      <c r="E212" s="15" t="s">
        <v>533</v>
      </c>
      <c r="I212" s="229"/>
      <c r="J212" s="211"/>
      <c r="K212" s="21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x14ac:dyDescent="0.2">
      <c r="A213" s="10">
        <v>23072</v>
      </c>
      <c r="B213" s="11">
        <v>42880</v>
      </c>
      <c r="C213" s="12">
        <v>69</v>
      </c>
      <c r="D213" s="12"/>
      <c r="E213" s="15" t="s">
        <v>25</v>
      </c>
      <c r="F213" s="21"/>
      <c r="G213" s="22"/>
      <c r="H213" s="10"/>
      <c r="I213" s="229"/>
      <c r="J213" s="211"/>
      <c r="K213" s="21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x14ac:dyDescent="0.2">
      <c r="A214" s="10">
        <v>23073</v>
      </c>
      <c r="B214" s="11">
        <v>42880</v>
      </c>
      <c r="C214" s="12">
        <v>31.39</v>
      </c>
      <c r="D214" s="12">
        <v>2.39</v>
      </c>
      <c r="E214" s="15" t="s">
        <v>533</v>
      </c>
      <c r="I214" s="229"/>
      <c r="J214" s="211"/>
      <c r="K214" s="21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x14ac:dyDescent="0.2">
      <c r="A215" s="10">
        <v>23074</v>
      </c>
      <c r="B215" s="11">
        <v>42880</v>
      </c>
      <c r="C215" s="12">
        <v>10.83</v>
      </c>
      <c r="D215" s="12">
        <v>0.83</v>
      </c>
      <c r="E215" s="17"/>
      <c r="I215" s="229"/>
      <c r="J215" s="211"/>
      <c r="K215" s="21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x14ac:dyDescent="0.2">
      <c r="A216" s="10">
        <v>23075</v>
      </c>
      <c r="B216" s="11">
        <v>42880</v>
      </c>
      <c r="C216" s="12">
        <v>179.15</v>
      </c>
      <c r="D216" s="12">
        <v>13.65</v>
      </c>
      <c r="E216" s="15" t="s">
        <v>11</v>
      </c>
      <c r="I216" s="229"/>
      <c r="J216" s="211"/>
      <c r="K216" s="21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x14ac:dyDescent="0.2">
      <c r="A217" s="10">
        <v>23076</v>
      </c>
      <c r="B217" s="11">
        <v>42880</v>
      </c>
      <c r="C217" s="12">
        <v>42.22</v>
      </c>
      <c r="D217" s="12">
        <v>3.22</v>
      </c>
      <c r="E217" s="15" t="s">
        <v>11</v>
      </c>
      <c r="I217" s="229"/>
      <c r="J217" s="211"/>
      <c r="K217" s="21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x14ac:dyDescent="0.2">
      <c r="A218" s="10">
        <v>23077</v>
      </c>
      <c r="B218" s="11">
        <v>42880</v>
      </c>
      <c r="C218" s="12">
        <v>76.5</v>
      </c>
      <c r="D218" s="12"/>
      <c r="E218" s="15" t="s">
        <v>1055</v>
      </c>
      <c r="I218" s="229"/>
      <c r="J218" s="211"/>
      <c r="K218" s="21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x14ac:dyDescent="0.2">
      <c r="A219" s="10">
        <v>23078</v>
      </c>
      <c r="B219" s="11">
        <v>42880</v>
      </c>
      <c r="C219" s="12">
        <v>12.419999999999998</v>
      </c>
      <c r="D219" s="12">
        <v>0.95</v>
      </c>
      <c r="E219" s="15" t="s">
        <v>523</v>
      </c>
      <c r="I219" s="229"/>
      <c r="J219" s="211"/>
      <c r="K219" s="21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x14ac:dyDescent="0.2">
      <c r="A220" s="10">
        <v>23079</v>
      </c>
      <c r="B220" s="11">
        <v>42880</v>
      </c>
      <c r="C220" s="12">
        <v>58.46</v>
      </c>
      <c r="D220" s="12">
        <v>4.46</v>
      </c>
      <c r="E220" s="15" t="s">
        <v>7</v>
      </c>
      <c r="F220" s="134">
        <f>+C216+C217+195.65+C218+C219+C220</f>
        <v>564.4</v>
      </c>
      <c r="G220" s="123">
        <f>+F220*0.97831</f>
        <v>552.15816399999994</v>
      </c>
      <c r="H220" s="253" t="s">
        <v>1056</v>
      </c>
      <c r="I220" s="229"/>
      <c r="J220" s="211"/>
      <c r="K220" s="21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x14ac:dyDescent="0.2">
      <c r="A221" s="10">
        <v>23080</v>
      </c>
      <c r="B221" s="11">
        <v>42881</v>
      </c>
      <c r="C221" s="12">
        <v>5.3900000000000006</v>
      </c>
      <c r="D221" s="12">
        <v>0.41</v>
      </c>
      <c r="E221" s="17"/>
      <c r="F221" s="18"/>
      <c r="G221" s="19"/>
      <c r="H221" s="12"/>
      <c r="I221" s="229"/>
      <c r="J221" s="211"/>
      <c r="K221" s="21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x14ac:dyDescent="0.2">
      <c r="A222" s="10">
        <v>23081</v>
      </c>
      <c r="B222" s="11">
        <v>42881</v>
      </c>
      <c r="C222" s="12">
        <v>194.31</v>
      </c>
      <c r="D222" s="12">
        <v>14.81</v>
      </c>
      <c r="E222" s="15" t="s">
        <v>7</v>
      </c>
      <c r="F222" s="21"/>
      <c r="G222" s="22"/>
      <c r="H222" s="10"/>
      <c r="I222" s="229"/>
      <c r="J222" s="211"/>
      <c r="K222" s="21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x14ac:dyDescent="0.2">
      <c r="A223" s="10">
        <v>23082</v>
      </c>
      <c r="B223" s="11">
        <v>42881</v>
      </c>
      <c r="C223" s="12">
        <v>88</v>
      </c>
      <c r="D223" s="12"/>
      <c r="E223" s="15" t="s">
        <v>1017</v>
      </c>
      <c r="I223" s="229"/>
      <c r="J223" s="211"/>
      <c r="K223" s="21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x14ac:dyDescent="0.2">
      <c r="A224" s="10">
        <v>23083</v>
      </c>
      <c r="B224" s="11">
        <v>42881</v>
      </c>
      <c r="C224" s="12">
        <v>73.61</v>
      </c>
      <c r="D224" s="12">
        <v>5.61</v>
      </c>
      <c r="E224" s="13" t="s">
        <v>1057</v>
      </c>
      <c r="I224" s="229"/>
      <c r="J224" s="211"/>
      <c r="K224" s="21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x14ac:dyDescent="0.2">
      <c r="A225" s="10">
        <v>23084</v>
      </c>
      <c r="B225" s="11">
        <v>42881</v>
      </c>
      <c r="C225" s="12">
        <v>10</v>
      </c>
      <c r="D225" s="12">
        <v>0.76</v>
      </c>
      <c r="E225" s="17"/>
      <c r="I225" s="229"/>
      <c r="J225" s="211"/>
      <c r="K225" s="21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x14ac:dyDescent="0.2">
      <c r="A226" s="10">
        <v>23085</v>
      </c>
      <c r="B226" s="11">
        <v>42881</v>
      </c>
      <c r="C226" s="12">
        <v>193.5</v>
      </c>
      <c r="D226" s="12">
        <v>14.75</v>
      </c>
      <c r="E226" s="15"/>
      <c r="I226" s="229"/>
      <c r="J226" s="211"/>
      <c r="K226" s="21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x14ac:dyDescent="0.2">
      <c r="A227" s="10">
        <v>23086</v>
      </c>
      <c r="B227" s="11">
        <v>42881</v>
      </c>
      <c r="C227" s="12">
        <v>810</v>
      </c>
      <c r="D227" s="12">
        <v>61.73</v>
      </c>
      <c r="E227" s="13" t="s">
        <v>1058</v>
      </c>
      <c r="F227" s="134">
        <f>8.61+194.31</f>
        <v>202.92000000000002</v>
      </c>
      <c r="G227" s="123">
        <f>+F227*0.97831</f>
        <v>198.51866520000002</v>
      </c>
      <c r="H227" s="253"/>
      <c r="I227" s="229"/>
      <c r="J227" s="211"/>
      <c r="K227" s="21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x14ac:dyDescent="0.2">
      <c r="A228" s="10">
        <v>23087</v>
      </c>
      <c r="B228" s="11">
        <v>42882</v>
      </c>
      <c r="C228" s="12">
        <v>273.87</v>
      </c>
      <c r="D228" s="12">
        <v>20.87</v>
      </c>
      <c r="E228" s="15" t="s">
        <v>11</v>
      </c>
      <c r="I228" s="229"/>
      <c r="J228" s="211"/>
      <c r="K228" s="21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x14ac:dyDescent="0.2">
      <c r="A229" s="10">
        <v>23088</v>
      </c>
      <c r="B229" s="11">
        <v>42882</v>
      </c>
      <c r="C229" s="12">
        <v>20.459999999999997</v>
      </c>
      <c r="D229" s="12">
        <v>1.56</v>
      </c>
      <c r="E229" s="15" t="s">
        <v>7</v>
      </c>
      <c r="I229" s="229"/>
      <c r="J229" s="211"/>
      <c r="K229" s="21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x14ac:dyDescent="0.2">
      <c r="A230" s="10">
        <v>23089</v>
      </c>
      <c r="B230" s="11">
        <v>42882</v>
      </c>
      <c r="C230" s="12">
        <v>70.36</v>
      </c>
      <c r="D230" s="12">
        <v>5.36</v>
      </c>
      <c r="E230" s="15" t="s">
        <v>11</v>
      </c>
      <c r="F230" s="10"/>
      <c r="G230" s="10"/>
      <c r="H230" s="188"/>
      <c r="I230" s="188"/>
      <c r="J230" s="184"/>
      <c r="K230" s="198"/>
    </row>
    <row r="231" spans="1:28" x14ac:dyDescent="0.2">
      <c r="A231" s="10">
        <v>23090</v>
      </c>
      <c r="B231" s="11">
        <v>42882</v>
      </c>
      <c r="C231" s="12">
        <v>96.34</v>
      </c>
      <c r="D231" s="12">
        <v>7.34</v>
      </c>
      <c r="E231" s="15" t="s">
        <v>1059</v>
      </c>
      <c r="I231" s="188"/>
      <c r="J231" s="184"/>
      <c r="K231" s="198"/>
    </row>
    <row r="232" spans="1:28" x14ac:dyDescent="0.2">
      <c r="A232" s="10">
        <v>23091</v>
      </c>
      <c r="B232" s="11">
        <v>42882</v>
      </c>
      <c r="C232" s="12">
        <v>368.05</v>
      </c>
      <c r="D232" s="12">
        <v>28.05</v>
      </c>
      <c r="E232" s="15" t="s">
        <v>1060</v>
      </c>
      <c r="I232" s="188"/>
      <c r="J232" s="184"/>
      <c r="K232" s="198"/>
    </row>
    <row r="233" spans="1:28" x14ac:dyDescent="0.2">
      <c r="A233" s="10">
        <v>23092</v>
      </c>
      <c r="B233" s="11">
        <v>42882</v>
      </c>
      <c r="C233" s="12">
        <v>151</v>
      </c>
      <c r="D233" s="12">
        <v>11.51</v>
      </c>
      <c r="E233" s="15" t="s">
        <v>11</v>
      </c>
      <c r="I233" s="188"/>
      <c r="J233" s="184"/>
      <c r="K233" s="198"/>
    </row>
    <row r="234" spans="1:28" x14ac:dyDescent="0.2">
      <c r="A234" s="10">
        <v>23093</v>
      </c>
      <c r="B234" s="11">
        <v>42882</v>
      </c>
      <c r="C234" s="12">
        <v>159.30000000000001</v>
      </c>
      <c r="D234" s="12"/>
      <c r="E234" s="15" t="s">
        <v>60</v>
      </c>
      <c r="I234" s="188"/>
      <c r="J234" s="184"/>
      <c r="K234" s="198"/>
    </row>
    <row r="235" spans="1:28" x14ac:dyDescent="0.2">
      <c r="A235" s="10">
        <v>23094</v>
      </c>
      <c r="B235" s="11">
        <v>42882</v>
      </c>
      <c r="C235" s="12">
        <v>30.31</v>
      </c>
      <c r="D235" s="12">
        <v>2.31</v>
      </c>
      <c r="E235" s="15" t="s">
        <v>11</v>
      </c>
      <c r="I235" s="188"/>
      <c r="J235" s="184"/>
      <c r="K235" s="198"/>
    </row>
    <row r="236" spans="1:28" x14ac:dyDescent="0.2">
      <c r="A236" s="10">
        <v>23095</v>
      </c>
      <c r="B236" s="11">
        <v>42882</v>
      </c>
      <c r="C236" s="12">
        <v>17</v>
      </c>
      <c r="D236" s="12">
        <v>1.3</v>
      </c>
      <c r="E236" s="15" t="s">
        <v>11</v>
      </c>
      <c r="I236" s="188"/>
      <c r="J236" s="184"/>
      <c r="K236" s="198"/>
    </row>
    <row r="237" spans="1:28" x14ac:dyDescent="0.2">
      <c r="A237" s="10">
        <v>23096</v>
      </c>
      <c r="B237" s="11">
        <v>42882</v>
      </c>
      <c r="C237" s="12">
        <v>204.59</v>
      </c>
      <c r="D237" s="12">
        <v>15.59</v>
      </c>
      <c r="E237" s="15" t="s">
        <v>1061</v>
      </c>
      <c r="I237" s="188"/>
      <c r="J237" s="184"/>
      <c r="K237" s="198"/>
    </row>
    <row r="238" spans="1:28" x14ac:dyDescent="0.2">
      <c r="A238" s="10">
        <v>23097</v>
      </c>
      <c r="B238" s="11">
        <v>42882</v>
      </c>
      <c r="C238" s="12">
        <v>155.88</v>
      </c>
      <c r="D238" s="12">
        <v>11.88</v>
      </c>
      <c r="E238" s="13" t="s">
        <v>1062</v>
      </c>
      <c r="I238" s="188"/>
      <c r="J238" s="184"/>
      <c r="K238" s="198"/>
    </row>
    <row r="239" spans="1:28" x14ac:dyDescent="0.2">
      <c r="A239" s="10">
        <v>23098</v>
      </c>
      <c r="B239" s="11">
        <v>42882</v>
      </c>
      <c r="C239" s="12">
        <v>171.04</v>
      </c>
      <c r="D239" s="12">
        <v>13.04</v>
      </c>
      <c r="E239" s="15" t="s">
        <v>7</v>
      </c>
      <c r="I239" s="188"/>
      <c r="J239" s="184"/>
      <c r="K239" s="198"/>
    </row>
    <row r="240" spans="1:28" x14ac:dyDescent="0.2">
      <c r="A240" s="10">
        <v>23099</v>
      </c>
      <c r="B240" s="11">
        <v>42882</v>
      </c>
      <c r="C240" s="12">
        <v>18.399999999999999</v>
      </c>
      <c r="D240" s="12">
        <v>1.4</v>
      </c>
      <c r="E240" s="17"/>
      <c r="F240" s="134">
        <f>28.19+C229+C230+C233+C235+C236+100+437.33+C239</f>
        <v>1025.69</v>
      </c>
      <c r="G240" s="123">
        <f>+F240*0.97831</f>
        <v>1003.4427839000001</v>
      </c>
      <c r="H240" s="253"/>
      <c r="I240" s="188"/>
      <c r="J240" s="184"/>
      <c r="K240" s="198"/>
    </row>
    <row r="241" spans="1:11" x14ac:dyDescent="0.2">
      <c r="A241" s="10">
        <v>23100</v>
      </c>
      <c r="B241" s="11">
        <v>42884</v>
      </c>
      <c r="C241" s="12">
        <v>96.34</v>
      </c>
      <c r="D241" s="12">
        <v>7.34</v>
      </c>
      <c r="E241" s="15" t="s">
        <v>7</v>
      </c>
      <c r="I241" s="188"/>
      <c r="J241" s="184"/>
      <c r="K241" s="198"/>
    </row>
    <row r="242" spans="1:11" x14ac:dyDescent="0.2">
      <c r="A242" s="10">
        <v>23101</v>
      </c>
      <c r="B242" s="11">
        <v>42884</v>
      </c>
      <c r="C242" s="12">
        <v>41.14</v>
      </c>
      <c r="D242" s="12">
        <v>3.14</v>
      </c>
      <c r="E242" s="15" t="s">
        <v>11</v>
      </c>
      <c r="I242" s="255"/>
      <c r="J242" s="184"/>
      <c r="K242" s="198"/>
    </row>
    <row r="243" spans="1:11" x14ac:dyDescent="0.2">
      <c r="A243" s="10">
        <v>23102</v>
      </c>
      <c r="B243" s="11">
        <v>42884</v>
      </c>
      <c r="C243" s="12">
        <v>23.82</v>
      </c>
      <c r="D243" s="12">
        <v>1.82</v>
      </c>
      <c r="E243" s="15" t="s">
        <v>11</v>
      </c>
      <c r="I243" s="255"/>
      <c r="J243" s="184"/>
      <c r="K243" s="198"/>
    </row>
    <row r="244" spans="1:11" x14ac:dyDescent="0.2">
      <c r="A244" s="10">
        <v>23103</v>
      </c>
      <c r="B244" s="11">
        <v>42884</v>
      </c>
      <c r="C244" s="12">
        <v>12</v>
      </c>
      <c r="D244" s="12"/>
      <c r="E244" s="15" t="s">
        <v>60</v>
      </c>
      <c r="F244" s="21"/>
      <c r="G244" s="22"/>
      <c r="H244" s="10"/>
      <c r="I244" s="255"/>
      <c r="J244" s="184"/>
      <c r="K244" s="198"/>
    </row>
    <row r="245" spans="1:11" x14ac:dyDescent="0.2">
      <c r="A245" s="10">
        <v>23104</v>
      </c>
      <c r="B245" s="11">
        <v>42884</v>
      </c>
      <c r="C245" s="12">
        <v>24.9</v>
      </c>
      <c r="D245" s="12">
        <v>1.9</v>
      </c>
      <c r="E245" s="15" t="s">
        <v>523</v>
      </c>
      <c r="I245" s="255"/>
      <c r="J245" s="184"/>
      <c r="K245" s="198"/>
    </row>
    <row r="246" spans="1:11" x14ac:dyDescent="0.2">
      <c r="A246" s="10">
        <v>23105</v>
      </c>
      <c r="B246" s="11">
        <v>42884</v>
      </c>
      <c r="C246" s="12">
        <v>7</v>
      </c>
      <c r="D246" s="12"/>
      <c r="E246" s="15" t="s">
        <v>1017</v>
      </c>
      <c r="F246" s="21"/>
      <c r="G246" s="22"/>
      <c r="H246" s="10"/>
      <c r="I246" s="188"/>
      <c r="J246" s="184"/>
      <c r="K246" s="198"/>
    </row>
    <row r="247" spans="1:11" x14ac:dyDescent="0.2">
      <c r="A247" s="10">
        <v>23106</v>
      </c>
      <c r="B247" s="11">
        <v>42884</v>
      </c>
      <c r="C247" s="12">
        <v>243.82999999999998</v>
      </c>
      <c r="D247" s="12">
        <v>18.579999999999998</v>
      </c>
      <c r="E247" s="15" t="s">
        <v>1063</v>
      </c>
      <c r="I247" s="188"/>
      <c r="J247" s="184"/>
      <c r="K247" s="198"/>
    </row>
    <row r="248" spans="1:11" x14ac:dyDescent="0.2">
      <c r="A248" s="10">
        <v>23107</v>
      </c>
      <c r="B248" s="11">
        <v>42884</v>
      </c>
      <c r="C248" s="12">
        <v>26.2</v>
      </c>
      <c r="D248" s="12">
        <v>2</v>
      </c>
      <c r="E248" s="15" t="s">
        <v>11</v>
      </c>
      <c r="I248" s="188"/>
      <c r="J248" s="184"/>
      <c r="K248" s="198"/>
    </row>
    <row r="249" spans="1:11" x14ac:dyDescent="0.2">
      <c r="A249" s="10">
        <v>23108</v>
      </c>
      <c r="B249" s="11">
        <v>42884</v>
      </c>
      <c r="C249" s="12">
        <v>243</v>
      </c>
      <c r="D249" s="12">
        <v>18.52</v>
      </c>
      <c r="E249" s="23"/>
      <c r="F249" s="134">
        <f>+C228+C241+C243+C245+C248+143.83</f>
        <v>588.96</v>
      </c>
      <c r="G249" s="123">
        <f>+F249*0.97831</f>
        <v>576.18545760000006</v>
      </c>
      <c r="H249" s="253"/>
      <c r="I249" s="188"/>
      <c r="J249" s="184"/>
      <c r="K249" s="198"/>
    </row>
    <row r="250" spans="1:11" x14ac:dyDescent="0.2">
      <c r="A250" s="10">
        <v>23109</v>
      </c>
      <c r="B250" s="11">
        <v>42885</v>
      </c>
      <c r="C250" s="12">
        <v>266.3</v>
      </c>
      <c r="D250" s="12">
        <v>20.3</v>
      </c>
      <c r="E250" s="13" t="s">
        <v>130</v>
      </c>
      <c r="F250" s="18"/>
      <c r="G250" s="19"/>
      <c r="H250" s="12"/>
      <c r="I250" s="188"/>
      <c r="J250" s="184"/>
      <c r="K250" s="198"/>
    </row>
    <row r="251" spans="1:11" x14ac:dyDescent="0.2">
      <c r="A251" s="10">
        <v>23110</v>
      </c>
      <c r="B251" s="11">
        <v>42885</v>
      </c>
      <c r="C251" s="12">
        <v>41.080000000000005</v>
      </c>
      <c r="D251" s="12">
        <v>3.13</v>
      </c>
      <c r="E251" s="15" t="s">
        <v>309</v>
      </c>
      <c r="F251" s="21"/>
      <c r="G251" s="22"/>
      <c r="H251" s="10"/>
      <c r="I251" s="188"/>
      <c r="J251" s="184"/>
      <c r="K251" s="198"/>
    </row>
    <row r="252" spans="1:11" x14ac:dyDescent="0.2">
      <c r="A252" s="10">
        <v>23111</v>
      </c>
      <c r="B252" s="11">
        <v>42885</v>
      </c>
      <c r="C252" s="12">
        <v>23.82</v>
      </c>
      <c r="D252" s="12">
        <v>1.82</v>
      </c>
      <c r="E252" s="15" t="s">
        <v>11</v>
      </c>
      <c r="I252" s="188"/>
      <c r="J252" s="184"/>
      <c r="K252" s="198"/>
    </row>
    <row r="253" spans="1:11" x14ac:dyDescent="0.2">
      <c r="A253" s="10">
        <v>23112</v>
      </c>
      <c r="B253" s="11">
        <v>42885</v>
      </c>
      <c r="C253" s="12">
        <v>6</v>
      </c>
      <c r="D253" s="12">
        <v>0.46</v>
      </c>
      <c r="E253" s="17"/>
      <c r="F253" s="18"/>
      <c r="G253" s="19"/>
      <c r="H253" s="12"/>
      <c r="I253" s="188"/>
      <c r="J253" s="184"/>
      <c r="K253" s="198"/>
    </row>
    <row r="254" spans="1:11" x14ac:dyDescent="0.2">
      <c r="A254" s="10">
        <v>23113</v>
      </c>
      <c r="B254" s="11">
        <v>42885</v>
      </c>
      <c r="C254" s="12">
        <v>30</v>
      </c>
      <c r="D254" s="12">
        <v>2.29</v>
      </c>
      <c r="E254" s="17"/>
      <c r="F254" s="18"/>
      <c r="G254" s="19"/>
      <c r="H254" s="12"/>
      <c r="I254" s="188"/>
      <c r="J254" s="184"/>
      <c r="K254" s="198"/>
    </row>
    <row r="255" spans="1:11" x14ac:dyDescent="0.2">
      <c r="A255" s="10">
        <v>23114</v>
      </c>
      <c r="B255" s="11">
        <v>42885</v>
      </c>
      <c r="C255" s="12">
        <v>9.8000000000000007</v>
      </c>
      <c r="D255" s="12"/>
      <c r="E255" s="13" t="s">
        <v>869</v>
      </c>
      <c r="F255" s="134">
        <f>16.08+C252+C242</f>
        <v>81.039999999999992</v>
      </c>
      <c r="G255" s="123">
        <f>+F255*0.97831</f>
        <v>79.282242399999987</v>
      </c>
      <c r="H255" s="253"/>
      <c r="I255" s="188"/>
      <c r="J255" s="184"/>
      <c r="K255" s="198"/>
    </row>
    <row r="256" spans="1:11" x14ac:dyDescent="0.2">
      <c r="A256" s="10">
        <v>23115</v>
      </c>
      <c r="B256" s="11">
        <v>42886</v>
      </c>
      <c r="C256" s="12">
        <v>100.67</v>
      </c>
      <c r="D256" s="12">
        <v>7.67</v>
      </c>
      <c r="E256" s="17"/>
      <c r="F256" s="18"/>
      <c r="G256" s="19"/>
      <c r="H256" s="12"/>
      <c r="I256" s="188"/>
      <c r="J256" s="184"/>
      <c r="K256" s="198"/>
    </row>
    <row r="257" spans="1:12" x14ac:dyDescent="0.2">
      <c r="A257" s="10">
        <v>23116</v>
      </c>
      <c r="B257" s="11">
        <v>42886</v>
      </c>
      <c r="C257" s="12">
        <v>508.80999999999995</v>
      </c>
      <c r="D257" s="12">
        <v>38.78</v>
      </c>
      <c r="E257" s="15" t="s">
        <v>7</v>
      </c>
      <c r="F257" s="21"/>
      <c r="G257" s="22"/>
      <c r="H257" s="10"/>
      <c r="I257" s="188"/>
      <c r="J257" s="184"/>
      <c r="K257" s="198"/>
    </row>
    <row r="258" spans="1:12" x14ac:dyDescent="0.2">
      <c r="A258" s="10">
        <v>23117</v>
      </c>
      <c r="B258" s="11">
        <v>42886</v>
      </c>
      <c r="C258" s="12">
        <v>217</v>
      </c>
      <c r="D258" s="12"/>
      <c r="E258" s="15" t="s">
        <v>60</v>
      </c>
      <c r="I258" s="188"/>
      <c r="J258" s="184"/>
      <c r="K258" s="198"/>
    </row>
    <row r="259" spans="1:12" x14ac:dyDescent="0.2">
      <c r="A259" s="10">
        <v>23118</v>
      </c>
      <c r="B259" s="11">
        <v>42886</v>
      </c>
      <c r="C259" s="12">
        <v>183</v>
      </c>
      <c r="D259" s="12"/>
      <c r="E259" s="15" t="s">
        <v>60</v>
      </c>
      <c r="I259" s="188"/>
      <c r="J259" s="184"/>
      <c r="K259" s="198"/>
    </row>
    <row r="260" spans="1:12" x14ac:dyDescent="0.2">
      <c r="A260" s="10">
        <v>23119</v>
      </c>
      <c r="B260" s="11">
        <v>42886</v>
      </c>
      <c r="C260" s="12">
        <v>263.66999999999996</v>
      </c>
      <c r="D260" s="12"/>
      <c r="E260" s="15" t="s">
        <v>60</v>
      </c>
      <c r="I260" s="188"/>
      <c r="J260" s="184"/>
      <c r="K260" s="198"/>
    </row>
    <row r="261" spans="1:12" x14ac:dyDescent="0.2">
      <c r="A261" s="10">
        <v>23120</v>
      </c>
      <c r="B261" s="11">
        <v>42886</v>
      </c>
      <c r="C261" s="12">
        <v>593.21</v>
      </c>
      <c r="D261" s="12">
        <v>45.21</v>
      </c>
      <c r="E261" s="15" t="s">
        <v>1064</v>
      </c>
      <c r="I261" s="188"/>
      <c r="J261" s="184"/>
      <c r="K261" s="198"/>
    </row>
    <row r="262" spans="1:12" x14ac:dyDescent="0.2">
      <c r="A262" s="10">
        <v>23121</v>
      </c>
      <c r="B262" s="11">
        <v>42886</v>
      </c>
      <c r="C262" s="12">
        <v>130</v>
      </c>
      <c r="D262" s="12">
        <v>9.91</v>
      </c>
      <c r="E262" s="15" t="s">
        <v>7</v>
      </c>
      <c r="F262" s="21"/>
      <c r="G262" s="22"/>
      <c r="H262" s="10"/>
      <c r="I262" s="188"/>
      <c r="J262" s="184"/>
      <c r="K262" s="198"/>
    </row>
    <row r="263" spans="1:12" x14ac:dyDescent="0.2">
      <c r="A263" s="10">
        <v>23122</v>
      </c>
      <c r="B263" s="11">
        <v>42886</v>
      </c>
      <c r="C263" s="12">
        <v>12</v>
      </c>
      <c r="D263" s="12">
        <v>0.91</v>
      </c>
      <c r="E263" s="15" t="s">
        <v>11</v>
      </c>
      <c r="I263" s="188"/>
      <c r="J263" s="184"/>
      <c r="K263" s="198"/>
    </row>
    <row r="264" spans="1:12" x14ac:dyDescent="0.2">
      <c r="A264" s="10">
        <v>23123</v>
      </c>
      <c r="B264" s="11">
        <v>42886</v>
      </c>
      <c r="C264" s="12">
        <v>200</v>
      </c>
      <c r="D264" s="12"/>
      <c r="E264" s="15" t="s">
        <v>1017</v>
      </c>
      <c r="F264" s="134">
        <f>+C257+C262+C263</f>
        <v>650.80999999999995</v>
      </c>
      <c r="G264" s="123">
        <f>+F264*0.97831</f>
        <v>636.69393109999999</v>
      </c>
      <c r="H264" s="253"/>
      <c r="I264" s="188"/>
      <c r="J264" s="184"/>
      <c r="K264" s="198"/>
    </row>
    <row r="265" spans="1:12" x14ac:dyDescent="0.2">
      <c r="E265" s="26"/>
      <c r="H265" s="184"/>
      <c r="I265" s="184"/>
      <c r="J265" s="184"/>
      <c r="K265" s="184"/>
      <c r="L265" s="184"/>
    </row>
    <row r="266" spans="1:12" x14ac:dyDescent="0.2">
      <c r="E266" s="26"/>
      <c r="F266" s="77"/>
      <c r="G266" s="77"/>
      <c r="H266" s="188"/>
      <c r="I266" s="197">
        <f ca="1">H1-WEEKDAY(H1,3)-7</f>
        <v>43171</v>
      </c>
      <c r="J266" s="198" t="e">
        <f t="shared" ref="J266:J279" ca="1" si="0">SUMIF(INDIRECT(TEXT(I266,"'mmm-yy'")&amp;"!B3:B400"),I266,INDIRECT(TEXT(I266,"'mmm-yy'")&amp;"!C3:C400"))</f>
        <v>#REF!</v>
      </c>
      <c r="K266" s="198"/>
      <c r="L266" s="184"/>
    </row>
    <row r="267" spans="1:12" x14ac:dyDescent="0.2">
      <c r="E267" s="26"/>
      <c r="F267" s="77"/>
      <c r="G267" s="77"/>
      <c r="H267" s="191"/>
      <c r="I267" s="197">
        <f t="shared" ref="I267:I279" ca="1" si="1">I266+1</f>
        <v>43172</v>
      </c>
      <c r="J267" s="198" t="e">
        <f t="shared" ca="1" si="0"/>
        <v>#REF!</v>
      </c>
      <c r="K267" s="198"/>
      <c r="L267" s="184"/>
    </row>
    <row r="268" spans="1:12" x14ac:dyDescent="0.2">
      <c r="E268" s="26"/>
      <c r="F268" s="77"/>
      <c r="G268" s="77"/>
      <c r="H268" s="191"/>
      <c r="I268" s="197">
        <f t="shared" ca="1" si="1"/>
        <v>43173</v>
      </c>
      <c r="J268" s="198" t="e">
        <f t="shared" ca="1" si="0"/>
        <v>#REF!</v>
      </c>
      <c r="K268" s="198"/>
      <c r="L268" s="184"/>
    </row>
    <row r="269" spans="1:12" x14ac:dyDescent="0.2">
      <c r="E269" s="26"/>
      <c r="F269" s="77"/>
      <c r="G269" s="77"/>
      <c r="H269" s="188"/>
      <c r="I269" s="197">
        <f t="shared" ca="1" si="1"/>
        <v>43174</v>
      </c>
      <c r="J269" s="198" t="e">
        <f t="shared" ca="1" si="0"/>
        <v>#REF!</v>
      </c>
      <c r="K269" s="184"/>
      <c r="L269" s="184"/>
    </row>
    <row r="270" spans="1:12" x14ac:dyDescent="0.2">
      <c r="E270" s="26"/>
      <c r="F270" s="77"/>
      <c r="G270" s="77"/>
      <c r="H270" s="188"/>
      <c r="I270" s="197">
        <f t="shared" ca="1" si="1"/>
        <v>43175</v>
      </c>
      <c r="J270" s="198" t="e">
        <f t="shared" ca="1" si="0"/>
        <v>#REF!</v>
      </c>
      <c r="K270" s="184"/>
      <c r="L270" s="184"/>
    </row>
    <row r="271" spans="1:12" x14ac:dyDescent="0.2">
      <c r="E271" s="26"/>
      <c r="F271" s="77"/>
      <c r="G271" s="77"/>
      <c r="H271" s="191"/>
      <c r="I271" s="197">
        <f t="shared" ca="1" si="1"/>
        <v>43176</v>
      </c>
      <c r="J271" s="198" t="e">
        <f t="shared" ca="1" si="0"/>
        <v>#REF!</v>
      </c>
      <c r="K271" s="184"/>
      <c r="L271" s="184"/>
    </row>
    <row r="272" spans="1:12" x14ac:dyDescent="0.2">
      <c r="E272" s="26"/>
      <c r="F272" s="77"/>
      <c r="G272" s="77"/>
      <c r="H272" s="191"/>
      <c r="I272" s="197">
        <f t="shared" ca="1" si="1"/>
        <v>43177</v>
      </c>
      <c r="J272" s="198" t="e">
        <f t="shared" ca="1" si="0"/>
        <v>#REF!</v>
      </c>
      <c r="K272" s="198" t="e">
        <f ca="1">SUM(J266:J272)</f>
        <v>#REF!</v>
      </c>
      <c r="L272" s="184"/>
    </row>
    <row r="273" spans="5:12" x14ac:dyDescent="0.2">
      <c r="E273" s="26"/>
      <c r="F273" s="77"/>
      <c r="G273" s="77"/>
      <c r="H273" s="188"/>
      <c r="I273" s="197">
        <f t="shared" ca="1" si="1"/>
        <v>43178</v>
      </c>
      <c r="J273" s="198" t="e">
        <f t="shared" ca="1" si="0"/>
        <v>#REF!</v>
      </c>
      <c r="K273" s="198"/>
      <c r="L273" s="184"/>
    </row>
    <row r="274" spans="5:12" x14ac:dyDescent="0.2">
      <c r="E274" s="26"/>
      <c r="F274" s="77"/>
      <c r="G274" s="77"/>
      <c r="H274" s="191"/>
      <c r="I274" s="197">
        <f t="shared" ca="1" si="1"/>
        <v>43179</v>
      </c>
      <c r="J274" s="198" t="e">
        <f t="shared" ca="1" si="0"/>
        <v>#REF!</v>
      </c>
      <c r="K274" s="198"/>
      <c r="L274" s="184"/>
    </row>
    <row r="275" spans="5:12" x14ac:dyDescent="0.2">
      <c r="E275" s="26"/>
      <c r="F275" s="77"/>
      <c r="G275" s="77"/>
      <c r="H275" s="191"/>
      <c r="I275" s="197">
        <f t="shared" ca="1" si="1"/>
        <v>43180</v>
      </c>
      <c r="J275" s="198" t="e">
        <f t="shared" ca="1" si="0"/>
        <v>#REF!</v>
      </c>
      <c r="K275" s="198"/>
      <c r="L275" s="184"/>
    </row>
    <row r="276" spans="5:12" x14ac:dyDescent="0.2">
      <c r="E276" s="26"/>
      <c r="F276" s="77"/>
      <c r="G276" s="77"/>
      <c r="H276" s="191"/>
      <c r="I276" s="197">
        <f t="shared" ca="1" si="1"/>
        <v>43181</v>
      </c>
      <c r="J276" s="198" t="e">
        <f t="shared" ca="1" si="0"/>
        <v>#REF!</v>
      </c>
      <c r="K276" s="198"/>
      <c r="L276" s="184"/>
    </row>
    <row r="277" spans="5:12" x14ac:dyDescent="0.2">
      <c r="E277" s="26"/>
      <c r="F277" s="77"/>
      <c r="G277" s="77"/>
      <c r="H277" s="191"/>
      <c r="I277" s="197">
        <f t="shared" ca="1" si="1"/>
        <v>43182</v>
      </c>
      <c r="J277" s="198" t="e">
        <f t="shared" ca="1" si="0"/>
        <v>#REF!</v>
      </c>
      <c r="K277" s="198"/>
      <c r="L277" s="184"/>
    </row>
    <row r="278" spans="5:12" x14ac:dyDescent="0.2">
      <c r="E278" s="26"/>
      <c r="F278" s="77"/>
      <c r="G278" s="77"/>
      <c r="H278" s="191"/>
      <c r="I278" s="197">
        <f t="shared" ca="1" si="1"/>
        <v>43183</v>
      </c>
      <c r="J278" s="198" t="e">
        <f t="shared" ca="1" si="0"/>
        <v>#REF!</v>
      </c>
      <c r="K278" s="198"/>
      <c r="L278" s="184"/>
    </row>
    <row r="279" spans="5:12" x14ac:dyDescent="0.2">
      <c r="E279" s="26"/>
      <c r="F279" s="77"/>
      <c r="G279" s="77"/>
      <c r="H279" s="191"/>
      <c r="I279" s="197">
        <f t="shared" ca="1" si="1"/>
        <v>43184</v>
      </c>
      <c r="J279" s="198" t="e">
        <f t="shared" ca="1" si="0"/>
        <v>#REF!</v>
      </c>
      <c r="K279" s="198" t="e">
        <f ca="1">SUM(J273:J279)</f>
        <v>#REF!</v>
      </c>
      <c r="L279" s="184"/>
    </row>
    <row r="280" spans="5:12" x14ac:dyDescent="0.2">
      <c r="E280" s="26"/>
      <c r="F280" s="77"/>
      <c r="G280" s="77"/>
      <c r="H280" s="199"/>
      <c r="I280" s="184"/>
      <c r="J280" s="198"/>
      <c r="K280" s="184"/>
      <c r="L280" s="184"/>
    </row>
    <row r="281" spans="5:12" x14ac:dyDescent="0.2">
      <c r="E281" s="26"/>
      <c r="F281" s="77"/>
      <c r="G281" s="77"/>
      <c r="H281" s="199"/>
      <c r="I281" s="184"/>
      <c r="J281" s="184"/>
      <c r="K281" s="184"/>
      <c r="L281" s="184"/>
    </row>
    <row r="282" spans="5:12" x14ac:dyDescent="0.2">
      <c r="E282" s="26"/>
      <c r="F282" s="77"/>
      <c r="G282" s="77"/>
      <c r="H282" s="199"/>
      <c r="I282" s="184"/>
      <c r="J282" s="184"/>
      <c r="K282" s="184"/>
      <c r="L282" s="184"/>
    </row>
    <row r="283" spans="5:12" x14ac:dyDescent="0.2">
      <c r="E283" s="26"/>
      <c r="F283" s="77"/>
      <c r="G283" s="77"/>
      <c r="H283" s="85"/>
      <c r="I283" s="77"/>
      <c r="J283" s="77"/>
      <c r="K283" s="77"/>
      <c r="L283" s="184"/>
    </row>
    <row r="284" spans="5:12" x14ac:dyDescent="0.2">
      <c r="E284" s="26"/>
      <c r="F284" s="77"/>
      <c r="G284" s="77"/>
      <c r="H284" s="199"/>
      <c r="I284" s="184"/>
      <c r="J284" s="184"/>
      <c r="K284" s="184"/>
    </row>
    <row r="285" spans="5:12" x14ac:dyDescent="0.2">
      <c r="E285" s="26"/>
    </row>
    <row r="286" spans="5:12" x14ac:dyDescent="0.2">
      <c r="E286" s="26"/>
    </row>
    <row r="287" spans="5:12" x14ac:dyDescent="0.2">
      <c r="E287" s="26"/>
    </row>
    <row r="288" spans="5:12" x14ac:dyDescent="0.2">
      <c r="E288" s="26"/>
    </row>
    <row r="289" spans="1:28" x14ac:dyDescent="0.2">
      <c r="E289" s="26"/>
    </row>
    <row r="290" spans="1:28" x14ac:dyDescent="0.2">
      <c r="E290" s="26"/>
    </row>
    <row r="291" spans="1:28" x14ac:dyDescent="0.2">
      <c r="E291" s="26"/>
    </row>
    <row r="292" spans="1:28" x14ac:dyDescent="0.2">
      <c r="E292" s="26"/>
    </row>
    <row r="293" spans="1:28" x14ac:dyDescent="0.2">
      <c r="E293" s="26"/>
    </row>
    <row r="294" spans="1:28" x14ac:dyDescent="0.2">
      <c r="E294" s="26"/>
    </row>
    <row r="295" spans="1:28" x14ac:dyDescent="0.2">
      <c r="E295" s="26"/>
    </row>
    <row r="296" spans="1:28" x14ac:dyDescent="0.2">
      <c r="E296" s="26"/>
    </row>
    <row r="297" spans="1:28" s="29" customFormat="1" x14ac:dyDescent="0.2">
      <c r="A297" s="4"/>
      <c r="B297" s="11"/>
      <c r="C297" s="25"/>
      <c r="D297" s="4"/>
      <c r="E297" s="26"/>
      <c r="F297" s="4"/>
      <c r="G297" s="4"/>
      <c r="H297" s="25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s="29" customFormat="1" x14ac:dyDescent="0.2">
      <c r="A298" s="4"/>
      <c r="B298" s="11"/>
      <c r="C298" s="25"/>
      <c r="D298" s="4"/>
      <c r="E298" s="26"/>
      <c r="F298" s="4"/>
      <c r="G298" s="4"/>
      <c r="H298" s="25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x14ac:dyDescent="0.2">
      <c r="E299" s="26"/>
    </row>
    <row r="300" spans="1:28" x14ac:dyDescent="0.2">
      <c r="E300" s="26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</row>
    <row r="301" spans="1:28" x14ac:dyDescent="0.2">
      <c r="E301" s="26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</row>
    <row r="302" spans="1:28" x14ac:dyDescent="0.2">
      <c r="E302" s="26"/>
    </row>
    <row r="303" spans="1:28" x14ac:dyDescent="0.2">
      <c r="A303" s="29"/>
      <c r="B303" s="30"/>
      <c r="C303" s="31"/>
      <c r="D303" s="29"/>
      <c r="E303" s="32"/>
      <c r="F303" s="29"/>
      <c r="G303" s="29"/>
      <c r="H303" s="31"/>
      <c r="I303" s="29"/>
      <c r="J303" s="29"/>
    </row>
    <row r="304" spans="1:28" x14ac:dyDescent="0.2">
      <c r="A304" s="29"/>
      <c r="B304" s="30"/>
      <c r="C304" s="31"/>
      <c r="D304" s="29"/>
      <c r="E304" s="32"/>
      <c r="F304" s="29"/>
      <c r="G304" s="29"/>
      <c r="H304" s="31"/>
      <c r="I304" s="29"/>
      <c r="J304" s="29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3308"/>
  <sheetViews>
    <sheetView topLeftCell="A245" workbookViewId="0">
      <selection activeCell="A293" sqref="A293"/>
    </sheetView>
  </sheetViews>
  <sheetFormatPr defaultRowHeight="11.25" x14ac:dyDescent="0.2"/>
  <cols>
    <col min="1" max="1" width="9.28515625" style="4" bestFit="1" customWidth="1"/>
    <col min="2" max="2" width="11.28515625" style="11" customWidth="1"/>
    <col min="3" max="3" width="9.28515625" style="25" bestFit="1" customWidth="1"/>
    <col min="4" max="4" width="9.28515625" style="4" bestFit="1" customWidth="1"/>
    <col min="5" max="5" width="19.28515625" style="4" customWidth="1"/>
    <col min="6" max="7" width="9.28515625" style="4" bestFit="1" customWidth="1"/>
    <col min="8" max="8" width="9.28515625" style="25" bestFit="1" customWidth="1"/>
    <col min="9" max="9" width="9.7109375" style="4" bestFit="1" customWidth="1"/>
    <col min="10" max="11" width="9.28515625" style="4" bestFit="1" customWidth="1"/>
    <col min="12" max="16384" width="9.140625" style="4"/>
  </cols>
  <sheetData>
    <row r="1" spans="1:10" x14ac:dyDescent="0.2">
      <c r="A1" s="100" t="s">
        <v>0</v>
      </c>
      <c r="B1" s="2"/>
      <c r="C1" s="142">
        <f>SUM(C3:C490)</f>
        <v>33179.89197500002</v>
      </c>
      <c r="D1" s="142">
        <f>SUM(D3:D490)</f>
        <v>2111.5219750000001</v>
      </c>
      <c r="F1" s="166">
        <f>SUM(F3:F5032)</f>
        <v>12691.701975</v>
      </c>
      <c r="G1" s="166">
        <f>SUM(G3:G5032)</f>
        <v>12416.418959162251</v>
      </c>
      <c r="H1" s="5">
        <f ca="1">TODAY()</f>
        <v>43182</v>
      </c>
      <c r="I1" s="5"/>
      <c r="J1" s="5"/>
    </row>
    <row r="2" spans="1:10" x14ac:dyDescent="0.2">
      <c r="A2" s="100" t="s">
        <v>1</v>
      </c>
      <c r="B2" s="164" t="s">
        <v>2</v>
      </c>
      <c r="C2" s="165" t="s">
        <v>3</v>
      </c>
      <c r="D2" s="164" t="s">
        <v>4</v>
      </c>
      <c r="E2" s="164" t="s">
        <v>5</v>
      </c>
    </row>
    <row r="3" spans="1:10" x14ac:dyDescent="0.2">
      <c r="A3" s="10">
        <v>23124</v>
      </c>
      <c r="B3" s="11">
        <v>42887</v>
      </c>
      <c r="C3" s="12">
        <v>37.89</v>
      </c>
      <c r="D3" s="12">
        <v>2.89</v>
      </c>
      <c r="E3" s="15" t="s">
        <v>11</v>
      </c>
      <c r="F3" s="10"/>
      <c r="G3" s="10"/>
      <c r="H3" s="10"/>
      <c r="I3" s="10"/>
    </row>
    <row r="4" spans="1:10" x14ac:dyDescent="0.2">
      <c r="A4" s="10">
        <v>23125</v>
      </c>
      <c r="B4" s="11">
        <v>42887</v>
      </c>
      <c r="C4" s="12">
        <v>30</v>
      </c>
      <c r="D4" s="12">
        <v>2.29</v>
      </c>
      <c r="E4" s="15" t="s">
        <v>7</v>
      </c>
      <c r="I4" s="10"/>
    </row>
    <row r="5" spans="1:10" x14ac:dyDescent="0.2">
      <c r="A5" s="10">
        <v>23126</v>
      </c>
      <c r="B5" s="11">
        <v>42887</v>
      </c>
      <c r="C5" s="12">
        <v>30.31</v>
      </c>
      <c r="D5" s="12">
        <v>2.31</v>
      </c>
      <c r="E5" s="15" t="s">
        <v>7</v>
      </c>
      <c r="I5" s="10"/>
    </row>
    <row r="6" spans="1:10" x14ac:dyDescent="0.2">
      <c r="A6" s="10">
        <v>23127</v>
      </c>
      <c r="B6" s="11">
        <v>42887</v>
      </c>
      <c r="C6" s="12">
        <v>389.7</v>
      </c>
      <c r="D6" s="12">
        <v>29.7</v>
      </c>
      <c r="E6" s="15" t="s">
        <v>1065</v>
      </c>
      <c r="I6" s="10"/>
    </row>
    <row r="7" spans="1:10" x14ac:dyDescent="0.2">
      <c r="A7" s="10">
        <v>23128</v>
      </c>
      <c r="B7" s="11">
        <v>42887</v>
      </c>
      <c r="C7" s="12">
        <v>348.22</v>
      </c>
      <c r="D7" s="12"/>
      <c r="E7" s="15" t="s">
        <v>60</v>
      </c>
      <c r="I7" s="10"/>
    </row>
    <row r="8" spans="1:10" x14ac:dyDescent="0.2">
      <c r="A8" s="10">
        <v>23129</v>
      </c>
      <c r="B8" s="11">
        <v>42887</v>
      </c>
      <c r="C8" s="12">
        <v>224.62</v>
      </c>
      <c r="D8" s="12">
        <v>17.12</v>
      </c>
      <c r="E8" s="15" t="s">
        <v>21</v>
      </c>
      <c r="I8" s="10"/>
    </row>
    <row r="9" spans="1:10" x14ac:dyDescent="0.2">
      <c r="A9" s="10">
        <v>23130</v>
      </c>
      <c r="B9" s="11">
        <v>42887</v>
      </c>
      <c r="C9" s="12">
        <v>80</v>
      </c>
      <c r="D9" s="12"/>
      <c r="E9" s="17"/>
      <c r="F9" s="18"/>
      <c r="G9" s="19"/>
      <c r="H9" s="12"/>
      <c r="I9" s="10"/>
    </row>
    <row r="10" spans="1:10" x14ac:dyDescent="0.2">
      <c r="A10" s="10">
        <v>23131</v>
      </c>
      <c r="B10" s="11">
        <v>42887</v>
      </c>
      <c r="C10" s="12">
        <v>552.08000000000004</v>
      </c>
      <c r="D10" s="12">
        <v>42.08</v>
      </c>
      <c r="E10" s="15" t="s">
        <v>1066</v>
      </c>
      <c r="F10" s="21"/>
      <c r="G10" s="22"/>
      <c r="H10" s="10"/>
      <c r="I10" s="10"/>
    </row>
    <row r="11" spans="1:10" x14ac:dyDescent="0.2">
      <c r="A11" s="10">
        <v>23132</v>
      </c>
      <c r="B11" s="11">
        <v>42887</v>
      </c>
      <c r="C11" s="12">
        <v>212.17000000000002</v>
      </c>
      <c r="D11" s="12">
        <v>16.170000000000002</v>
      </c>
      <c r="E11" s="15" t="s">
        <v>21</v>
      </c>
      <c r="I11" s="10"/>
    </row>
    <row r="12" spans="1:10" x14ac:dyDescent="0.2">
      <c r="A12" s="10">
        <v>23133</v>
      </c>
      <c r="B12" s="11">
        <v>42887</v>
      </c>
      <c r="C12" s="12">
        <v>122</v>
      </c>
      <c r="D12" s="12">
        <v>9.3000000000000007</v>
      </c>
      <c r="E12" s="17"/>
      <c r="I12" s="10"/>
    </row>
    <row r="13" spans="1:10" x14ac:dyDescent="0.2">
      <c r="A13" s="10">
        <v>23134</v>
      </c>
      <c r="B13" s="11">
        <v>42887</v>
      </c>
      <c r="C13" s="12">
        <v>92</v>
      </c>
      <c r="D13" s="12">
        <v>7.01</v>
      </c>
      <c r="E13" s="17"/>
      <c r="F13" s="18"/>
      <c r="G13" s="19"/>
      <c r="H13" s="12"/>
      <c r="I13" s="10"/>
    </row>
    <row r="14" spans="1:10" x14ac:dyDescent="0.2">
      <c r="A14" s="10">
        <v>23135</v>
      </c>
      <c r="B14" s="11">
        <v>42887</v>
      </c>
      <c r="C14" s="12">
        <v>59.54</v>
      </c>
      <c r="D14" s="12">
        <v>4.54</v>
      </c>
      <c r="E14" s="17"/>
      <c r="F14" s="18"/>
      <c r="G14" s="19"/>
      <c r="H14" s="12"/>
      <c r="I14" s="10"/>
    </row>
    <row r="15" spans="1:10" x14ac:dyDescent="0.2">
      <c r="A15" s="10">
        <v>23136</v>
      </c>
      <c r="B15" s="11">
        <v>42887</v>
      </c>
      <c r="C15" s="12">
        <v>70.36</v>
      </c>
      <c r="D15" s="12">
        <v>5.36</v>
      </c>
      <c r="E15" s="15" t="s">
        <v>21</v>
      </c>
      <c r="F15" s="134">
        <f>786.44+C4+C3+C5+100+300</f>
        <v>1284.6399999999999</v>
      </c>
      <c r="G15" s="123">
        <f>+F15*0.97831</f>
        <v>1256.7761584</v>
      </c>
      <c r="H15" s="253" t="s">
        <v>1067</v>
      </c>
      <c r="I15" s="10"/>
    </row>
    <row r="16" spans="1:10" x14ac:dyDescent="0.2">
      <c r="A16" s="10">
        <v>23137</v>
      </c>
      <c r="B16" s="11">
        <v>42888</v>
      </c>
      <c r="C16" s="12">
        <v>223</v>
      </c>
      <c r="D16" s="12">
        <v>17</v>
      </c>
      <c r="E16" s="15"/>
      <c r="I16" s="10"/>
    </row>
    <row r="17" spans="1:9" x14ac:dyDescent="0.2">
      <c r="A17" s="10">
        <v>23138</v>
      </c>
      <c r="B17" s="11">
        <v>42888</v>
      </c>
      <c r="C17" s="12">
        <v>71.45</v>
      </c>
      <c r="D17" s="12">
        <v>5.45</v>
      </c>
      <c r="E17" s="256" t="s">
        <v>11</v>
      </c>
      <c r="F17" s="21"/>
      <c r="G17" s="22"/>
      <c r="H17" s="10"/>
      <c r="I17" s="10"/>
    </row>
    <row r="18" spans="1:9" x14ac:dyDescent="0.2">
      <c r="A18" s="10">
        <v>23139</v>
      </c>
      <c r="B18" s="11">
        <v>42888</v>
      </c>
      <c r="C18" s="12">
        <v>161.29</v>
      </c>
      <c r="D18" s="12">
        <v>12.29</v>
      </c>
      <c r="E18" s="256" t="s">
        <v>7</v>
      </c>
      <c r="F18" s="21"/>
      <c r="G18" s="22"/>
      <c r="H18" s="10"/>
      <c r="I18" s="10"/>
    </row>
    <row r="19" spans="1:9" x14ac:dyDescent="0.2">
      <c r="A19" s="10">
        <v>23140</v>
      </c>
      <c r="B19" s="11">
        <v>42888</v>
      </c>
      <c r="C19" s="12">
        <v>58.46</v>
      </c>
      <c r="D19" s="12">
        <v>4.46</v>
      </c>
      <c r="E19" s="256" t="s">
        <v>11</v>
      </c>
      <c r="I19" s="10"/>
    </row>
    <row r="20" spans="1:9" x14ac:dyDescent="0.2">
      <c r="A20" s="10">
        <v>23141</v>
      </c>
      <c r="B20" s="11">
        <v>42888</v>
      </c>
      <c r="C20" s="12">
        <v>6</v>
      </c>
      <c r="D20" s="12">
        <v>0.46</v>
      </c>
      <c r="E20" s="17"/>
      <c r="I20" s="10"/>
    </row>
    <row r="21" spans="1:9" x14ac:dyDescent="0.2">
      <c r="A21" s="10">
        <v>23142</v>
      </c>
      <c r="B21" s="11">
        <v>42888</v>
      </c>
      <c r="C21" s="12">
        <v>153</v>
      </c>
      <c r="D21" s="12"/>
      <c r="E21" s="13" t="s">
        <v>1068</v>
      </c>
      <c r="F21" s="18"/>
      <c r="G21" s="19"/>
      <c r="H21" s="12"/>
      <c r="I21" s="10"/>
    </row>
    <row r="22" spans="1:9" x14ac:dyDescent="0.2">
      <c r="A22" s="10">
        <v>23143</v>
      </c>
      <c r="B22" s="11">
        <v>42888</v>
      </c>
      <c r="C22" s="12">
        <v>105</v>
      </c>
      <c r="D22" s="12">
        <v>8</v>
      </c>
      <c r="E22" s="17"/>
      <c r="F22" s="18"/>
      <c r="G22" s="19"/>
      <c r="H22" s="12"/>
      <c r="I22" s="10"/>
    </row>
    <row r="23" spans="1:9" x14ac:dyDescent="0.2">
      <c r="A23" s="10">
        <v>23144</v>
      </c>
      <c r="B23" s="11">
        <v>42888</v>
      </c>
      <c r="C23" s="12">
        <v>15.16</v>
      </c>
      <c r="D23" s="12">
        <v>1.1599999999999999</v>
      </c>
      <c r="E23" s="15" t="s">
        <v>7</v>
      </c>
      <c r="F23" s="134">
        <f>70.36+C17+374+C18+C19+C23</f>
        <v>750.71999999999991</v>
      </c>
      <c r="G23" s="123">
        <f>+F23*0.97831</f>
        <v>734.4368831999999</v>
      </c>
      <c r="H23" s="253"/>
      <c r="I23" s="10"/>
    </row>
    <row r="24" spans="1:9" x14ac:dyDescent="0.2">
      <c r="A24" s="10">
        <v>23145</v>
      </c>
      <c r="B24" s="11">
        <v>42889</v>
      </c>
      <c r="C24" s="12">
        <v>44</v>
      </c>
      <c r="D24" s="12">
        <v>3.35</v>
      </c>
      <c r="E24" s="17"/>
      <c r="F24" s="18"/>
      <c r="G24" s="19"/>
      <c r="H24" s="12"/>
      <c r="I24" s="10"/>
    </row>
    <row r="25" spans="1:9" x14ac:dyDescent="0.2">
      <c r="A25" s="10">
        <v>23146</v>
      </c>
      <c r="B25" s="11">
        <v>42889</v>
      </c>
      <c r="C25" s="12">
        <v>10</v>
      </c>
      <c r="D25" s="12">
        <v>0.76</v>
      </c>
      <c r="E25" s="17"/>
      <c r="F25" s="18"/>
      <c r="G25" s="19"/>
      <c r="H25" s="12"/>
      <c r="I25" s="10"/>
    </row>
    <row r="26" spans="1:9" x14ac:dyDescent="0.2">
      <c r="A26" s="10">
        <v>23147</v>
      </c>
      <c r="B26" s="11">
        <v>42889</v>
      </c>
      <c r="C26" s="12">
        <v>4</v>
      </c>
      <c r="D26" s="12">
        <v>0.3</v>
      </c>
      <c r="E26" s="17"/>
      <c r="I26" s="10"/>
    </row>
    <row r="27" spans="1:9" x14ac:dyDescent="0.2">
      <c r="A27" s="10">
        <v>23148</v>
      </c>
      <c r="B27" s="11">
        <v>42889</v>
      </c>
      <c r="C27" s="12">
        <v>136.94</v>
      </c>
      <c r="D27" s="12">
        <v>10.44</v>
      </c>
      <c r="E27" s="15" t="s">
        <v>11</v>
      </c>
      <c r="I27" s="10"/>
    </row>
    <row r="28" spans="1:9" x14ac:dyDescent="0.2">
      <c r="A28" s="10">
        <v>23149</v>
      </c>
      <c r="B28" s="11">
        <v>42889</v>
      </c>
      <c r="C28" s="12">
        <v>66.03</v>
      </c>
      <c r="D28" s="12">
        <v>5.03</v>
      </c>
      <c r="E28" s="15"/>
      <c r="F28" s="21"/>
      <c r="G28" s="22"/>
      <c r="H28" s="10"/>
      <c r="I28" s="10"/>
    </row>
    <row r="29" spans="1:9" x14ac:dyDescent="0.2">
      <c r="A29" s="10">
        <v>23150</v>
      </c>
      <c r="B29" s="11">
        <v>42889</v>
      </c>
      <c r="C29" s="12">
        <v>62</v>
      </c>
      <c r="D29" s="12"/>
      <c r="E29" s="15" t="s">
        <v>1069</v>
      </c>
      <c r="F29" s="21"/>
      <c r="G29" s="22"/>
      <c r="H29" s="10"/>
      <c r="I29" s="10"/>
    </row>
    <row r="30" spans="1:9" x14ac:dyDescent="0.2">
      <c r="A30" s="10">
        <v>23151</v>
      </c>
      <c r="B30" s="11">
        <v>42889</v>
      </c>
      <c r="C30" s="12">
        <v>3.75</v>
      </c>
      <c r="D30" s="12"/>
      <c r="E30" s="15" t="s">
        <v>19</v>
      </c>
      <c r="I30" s="10"/>
    </row>
    <row r="31" spans="1:9" x14ac:dyDescent="0.2">
      <c r="A31" s="10">
        <v>23152</v>
      </c>
      <c r="B31" s="11">
        <v>42889</v>
      </c>
      <c r="C31" s="12">
        <v>350</v>
      </c>
      <c r="D31" s="12">
        <v>26.67</v>
      </c>
      <c r="E31" s="15" t="s">
        <v>1070</v>
      </c>
      <c r="I31" s="10"/>
    </row>
    <row r="32" spans="1:9" x14ac:dyDescent="0.2">
      <c r="A32" s="10">
        <v>23153</v>
      </c>
      <c r="B32" s="11">
        <v>42889</v>
      </c>
      <c r="C32" s="12">
        <v>10</v>
      </c>
      <c r="D32" s="12">
        <v>0.76</v>
      </c>
      <c r="E32" s="17"/>
      <c r="I32" s="10"/>
    </row>
    <row r="33" spans="1:9" x14ac:dyDescent="0.2">
      <c r="A33" s="10">
        <v>23154</v>
      </c>
      <c r="B33" s="11">
        <v>42889</v>
      </c>
      <c r="C33" s="12">
        <v>368.03000000000003</v>
      </c>
      <c r="D33" s="12">
        <v>28.05</v>
      </c>
      <c r="E33" s="15" t="s">
        <v>533</v>
      </c>
      <c r="I33" s="10"/>
    </row>
    <row r="34" spans="1:9" x14ac:dyDescent="0.2">
      <c r="A34" s="10">
        <v>23155</v>
      </c>
      <c r="B34" s="11">
        <v>42889</v>
      </c>
      <c r="C34" s="12">
        <v>40.32</v>
      </c>
      <c r="D34" s="12">
        <v>3.07</v>
      </c>
      <c r="E34" s="15" t="s">
        <v>11</v>
      </c>
      <c r="I34" s="10"/>
    </row>
    <row r="35" spans="1:9" x14ac:dyDescent="0.2">
      <c r="A35" s="10">
        <v>23156</v>
      </c>
      <c r="B35" s="11">
        <v>42889</v>
      </c>
      <c r="C35" s="12">
        <v>134</v>
      </c>
      <c r="D35" s="12"/>
      <c r="E35" s="15" t="s">
        <v>857</v>
      </c>
      <c r="F35" s="134">
        <f>40+C27+C29+C28+20+C34</f>
        <v>365.29</v>
      </c>
      <c r="G35" s="123">
        <f>+F35*0.97831</f>
        <v>357.36685990000001</v>
      </c>
      <c r="H35" s="253" t="s">
        <v>1071</v>
      </c>
      <c r="I35" s="10"/>
    </row>
    <row r="36" spans="1:9" x14ac:dyDescent="0.2">
      <c r="A36" s="10">
        <v>23157</v>
      </c>
      <c r="B36" s="11">
        <v>42891</v>
      </c>
      <c r="C36" s="12">
        <v>10.83</v>
      </c>
      <c r="D36" s="12">
        <v>0.83</v>
      </c>
      <c r="E36" s="15" t="s">
        <v>7</v>
      </c>
      <c r="F36" s="21"/>
      <c r="G36" s="22"/>
      <c r="H36" s="10"/>
      <c r="I36" s="10"/>
    </row>
    <row r="37" spans="1:9" x14ac:dyDescent="0.2">
      <c r="A37" s="10">
        <v>23158</v>
      </c>
      <c r="B37" s="11">
        <v>42891</v>
      </c>
      <c r="C37" s="12">
        <v>880</v>
      </c>
      <c r="D37" s="12"/>
      <c r="E37" s="13" t="s">
        <v>19</v>
      </c>
      <c r="F37" s="18"/>
      <c r="G37" s="19"/>
      <c r="H37" s="12"/>
      <c r="I37" s="10"/>
    </row>
    <row r="38" spans="1:9" x14ac:dyDescent="0.2">
      <c r="A38" s="10">
        <v>23159</v>
      </c>
      <c r="B38" s="11">
        <v>42891</v>
      </c>
      <c r="C38" s="12">
        <v>14.6</v>
      </c>
      <c r="D38" s="12"/>
      <c r="E38" s="15" t="s">
        <v>60</v>
      </c>
      <c r="F38" s="21"/>
      <c r="G38" s="22"/>
      <c r="H38" s="10"/>
      <c r="I38" s="10"/>
    </row>
    <row r="39" spans="1:9" x14ac:dyDescent="0.2">
      <c r="A39" s="10">
        <v>23160</v>
      </c>
      <c r="B39" s="11">
        <v>42891</v>
      </c>
      <c r="C39" s="12">
        <v>52.830000000000005</v>
      </c>
      <c r="D39" s="12">
        <v>4.03</v>
      </c>
      <c r="E39" s="17"/>
      <c r="I39" s="10"/>
    </row>
    <row r="40" spans="1:9" x14ac:dyDescent="0.2">
      <c r="A40" s="10">
        <v>23161</v>
      </c>
      <c r="B40" s="11">
        <v>42891</v>
      </c>
      <c r="C40" s="12">
        <v>24</v>
      </c>
      <c r="D40" s="12"/>
      <c r="E40" s="15" t="s">
        <v>25</v>
      </c>
      <c r="F40" s="21"/>
      <c r="G40" s="22"/>
      <c r="H40" s="10"/>
      <c r="I40" s="10"/>
    </row>
    <row r="41" spans="1:9" x14ac:dyDescent="0.2">
      <c r="A41" s="10">
        <v>23162</v>
      </c>
      <c r="B41" s="11">
        <v>42891</v>
      </c>
      <c r="C41" s="12">
        <v>44.19</v>
      </c>
      <c r="D41" s="12"/>
      <c r="E41" s="15" t="s">
        <v>25</v>
      </c>
      <c r="I41" s="10"/>
    </row>
    <row r="42" spans="1:9" x14ac:dyDescent="0.2">
      <c r="A42" s="10">
        <v>23163</v>
      </c>
      <c r="B42" s="11">
        <v>42891</v>
      </c>
      <c r="C42" s="12">
        <v>37.69</v>
      </c>
      <c r="D42" s="12"/>
      <c r="E42" s="13" t="s">
        <v>8</v>
      </c>
      <c r="F42" s="18"/>
      <c r="G42" s="19"/>
      <c r="H42" s="12"/>
      <c r="I42" s="10"/>
    </row>
    <row r="43" spans="1:9" x14ac:dyDescent="0.2">
      <c r="A43" s="10">
        <v>23164</v>
      </c>
      <c r="B43" s="11">
        <v>42891</v>
      </c>
      <c r="C43" s="12">
        <v>111</v>
      </c>
      <c r="D43" s="12"/>
      <c r="E43" s="15" t="s">
        <v>16</v>
      </c>
      <c r="F43" s="21"/>
      <c r="G43" s="22"/>
      <c r="H43" s="10"/>
      <c r="I43" s="10"/>
    </row>
    <row r="44" spans="1:9" x14ac:dyDescent="0.2">
      <c r="A44" s="10">
        <v>23165</v>
      </c>
      <c r="B44" s="11">
        <v>42891</v>
      </c>
      <c r="C44" s="12">
        <v>261.42</v>
      </c>
      <c r="D44" s="12">
        <v>19.920000000000002</v>
      </c>
      <c r="E44" s="15" t="s">
        <v>7</v>
      </c>
      <c r="F44" s="21"/>
      <c r="G44" s="22"/>
      <c r="H44" s="10"/>
      <c r="I44" s="10"/>
    </row>
    <row r="45" spans="1:9" x14ac:dyDescent="0.2">
      <c r="A45" s="10">
        <v>23166</v>
      </c>
      <c r="B45" s="11">
        <v>42891</v>
      </c>
      <c r="C45" s="12">
        <v>62.24</v>
      </c>
      <c r="D45" s="12">
        <v>4.74</v>
      </c>
      <c r="E45" s="15" t="s">
        <v>11</v>
      </c>
      <c r="F45" s="21"/>
      <c r="G45" s="22"/>
      <c r="H45" s="10"/>
      <c r="I45" s="10"/>
    </row>
    <row r="46" spans="1:9" x14ac:dyDescent="0.2">
      <c r="A46" s="10">
        <v>23167</v>
      </c>
      <c r="B46" s="11">
        <v>42891</v>
      </c>
      <c r="C46" s="12">
        <v>10</v>
      </c>
      <c r="D46" s="12"/>
      <c r="E46" s="13" t="s">
        <v>521</v>
      </c>
      <c r="I46" s="10"/>
    </row>
    <row r="47" spans="1:9" x14ac:dyDescent="0.2">
      <c r="A47" s="10">
        <v>23168</v>
      </c>
      <c r="B47" s="11">
        <v>42891</v>
      </c>
      <c r="C47" s="12">
        <v>268</v>
      </c>
      <c r="D47" s="12">
        <v>20.420000000000002</v>
      </c>
      <c r="E47" s="17"/>
      <c r="F47" s="18"/>
      <c r="G47" s="19"/>
      <c r="H47" s="12"/>
      <c r="I47" s="10"/>
    </row>
    <row r="48" spans="1:9" x14ac:dyDescent="0.2">
      <c r="A48" s="10">
        <v>23169</v>
      </c>
      <c r="B48" s="11">
        <v>42891</v>
      </c>
      <c r="C48" s="12">
        <v>9.69</v>
      </c>
      <c r="D48" s="12">
        <v>0.74</v>
      </c>
      <c r="E48" s="17"/>
      <c r="I48" s="10"/>
    </row>
    <row r="49" spans="1:9" x14ac:dyDescent="0.2">
      <c r="A49" s="10">
        <v>23170</v>
      </c>
      <c r="B49" s="11">
        <v>42891</v>
      </c>
      <c r="C49" s="12">
        <v>12.99</v>
      </c>
      <c r="D49" s="12">
        <v>0.99</v>
      </c>
      <c r="E49" s="17"/>
      <c r="F49" s="134">
        <f>+C36+C44+C45+24</f>
        <v>358.49</v>
      </c>
      <c r="G49" s="123">
        <f>+F49*0.97831</f>
        <v>350.7143519</v>
      </c>
      <c r="I49" s="10"/>
    </row>
    <row r="50" spans="1:9" x14ac:dyDescent="0.2">
      <c r="A50" s="10">
        <v>23171</v>
      </c>
      <c r="B50" s="11">
        <v>42892</v>
      </c>
      <c r="C50" s="12">
        <v>70</v>
      </c>
      <c r="D50" s="12">
        <v>5.33</v>
      </c>
      <c r="E50" s="15" t="s">
        <v>11</v>
      </c>
      <c r="F50" s="21"/>
      <c r="G50" s="22"/>
      <c r="H50" s="10"/>
      <c r="I50" s="10"/>
    </row>
    <row r="51" spans="1:9" x14ac:dyDescent="0.2">
      <c r="A51" s="10">
        <v>23172</v>
      </c>
      <c r="B51" s="11">
        <v>42892</v>
      </c>
      <c r="C51" s="12">
        <v>150</v>
      </c>
      <c r="D51" s="12"/>
      <c r="E51" s="15" t="s">
        <v>10</v>
      </c>
      <c r="F51" s="21"/>
      <c r="G51" s="22"/>
      <c r="H51" s="10"/>
      <c r="I51" s="10"/>
    </row>
    <row r="52" spans="1:9" x14ac:dyDescent="0.2">
      <c r="A52" s="10">
        <v>23173</v>
      </c>
      <c r="B52" s="11">
        <v>42892</v>
      </c>
      <c r="C52" s="12">
        <v>270</v>
      </c>
      <c r="D52" s="12"/>
      <c r="E52" s="15" t="s">
        <v>60</v>
      </c>
      <c r="I52" s="10"/>
    </row>
    <row r="53" spans="1:9" x14ac:dyDescent="0.2">
      <c r="A53" s="10">
        <v>23174</v>
      </c>
      <c r="B53" s="11">
        <v>42892</v>
      </c>
      <c r="C53" s="12">
        <v>33.56</v>
      </c>
      <c r="D53" s="12">
        <v>2.56</v>
      </c>
      <c r="E53" s="15" t="s">
        <v>21</v>
      </c>
      <c r="I53" s="10"/>
    </row>
    <row r="54" spans="1:9" x14ac:dyDescent="0.2">
      <c r="A54" s="10">
        <v>23175</v>
      </c>
      <c r="B54" s="11">
        <v>42892</v>
      </c>
      <c r="C54" s="12">
        <v>3.25</v>
      </c>
      <c r="D54" s="12">
        <v>0.25</v>
      </c>
      <c r="E54" s="17"/>
      <c r="I54" s="10"/>
    </row>
    <row r="55" spans="1:9" x14ac:dyDescent="0.2">
      <c r="A55" s="10">
        <v>23176</v>
      </c>
      <c r="B55" s="11">
        <v>42892</v>
      </c>
      <c r="C55" s="12">
        <v>51.96</v>
      </c>
      <c r="D55" s="12">
        <v>3.96</v>
      </c>
      <c r="E55" s="17"/>
      <c r="I55" s="10"/>
    </row>
    <row r="56" spans="1:9" x14ac:dyDescent="0.2">
      <c r="A56" s="10">
        <v>23177</v>
      </c>
      <c r="B56" s="11">
        <v>42892</v>
      </c>
      <c r="C56" s="12">
        <v>130.87</v>
      </c>
      <c r="D56" s="12">
        <v>9.9700000000000006</v>
      </c>
      <c r="E56" s="15" t="s">
        <v>7</v>
      </c>
      <c r="I56" s="10"/>
    </row>
    <row r="57" spans="1:9" x14ac:dyDescent="0.2">
      <c r="A57" s="10">
        <v>23178</v>
      </c>
      <c r="B57" s="11">
        <v>42892</v>
      </c>
      <c r="C57" s="12">
        <v>21.599999999999998</v>
      </c>
      <c r="D57" s="12">
        <v>1.65</v>
      </c>
      <c r="E57" s="17"/>
      <c r="F57" s="18"/>
      <c r="G57" s="19"/>
      <c r="H57" s="12"/>
      <c r="I57" s="10"/>
    </row>
    <row r="58" spans="1:9" x14ac:dyDescent="0.2">
      <c r="A58" s="10">
        <v>23179</v>
      </c>
      <c r="B58" s="11">
        <v>42892</v>
      </c>
      <c r="C58" s="12">
        <v>11.91</v>
      </c>
      <c r="D58" s="12">
        <v>0.91</v>
      </c>
      <c r="E58" s="15" t="s">
        <v>11</v>
      </c>
      <c r="F58" s="257">
        <f>+C50+C56+C58</f>
        <v>212.78</v>
      </c>
      <c r="G58" s="258">
        <f>+F58*0.97831</f>
        <v>208.16480179999999</v>
      </c>
      <c r="H58" s="253" t="s">
        <v>1072</v>
      </c>
      <c r="I58" s="10"/>
    </row>
    <row r="59" spans="1:9" x14ac:dyDescent="0.2">
      <c r="A59" s="10">
        <v>23180</v>
      </c>
      <c r="B59" s="11">
        <v>42893</v>
      </c>
      <c r="C59" s="12">
        <v>328</v>
      </c>
      <c r="D59" s="12">
        <v>25</v>
      </c>
      <c r="E59" s="17"/>
      <c r="I59" s="10"/>
    </row>
    <row r="60" spans="1:9" x14ac:dyDescent="0.2">
      <c r="A60" s="10">
        <v>23181</v>
      </c>
      <c r="B60" s="11">
        <v>42893</v>
      </c>
      <c r="C60" s="12">
        <v>205</v>
      </c>
      <c r="D60" s="12"/>
      <c r="E60" s="15" t="s">
        <v>21</v>
      </c>
      <c r="I60" s="10"/>
    </row>
    <row r="61" spans="1:9" x14ac:dyDescent="0.2">
      <c r="A61" s="10">
        <v>23182</v>
      </c>
      <c r="B61" s="11">
        <v>42893</v>
      </c>
      <c r="C61" s="12">
        <v>7.5200000000000005</v>
      </c>
      <c r="D61" s="12">
        <v>0.56999999999999995</v>
      </c>
      <c r="E61" s="15" t="s">
        <v>11</v>
      </c>
      <c r="I61" s="10"/>
    </row>
    <row r="62" spans="1:9" x14ac:dyDescent="0.2">
      <c r="A62" s="10">
        <v>23183</v>
      </c>
      <c r="B62" s="11">
        <v>42893</v>
      </c>
      <c r="C62" s="12">
        <v>173.2</v>
      </c>
      <c r="D62" s="12">
        <v>13.2</v>
      </c>
      <c r="E62" s="15" t="s">
        <v>1073</v>
      </c>
      <c r="I62" s="10"/>
    </row>
    <row r="63" spans="1:9" x14ac:dyDescent="0.2">
      <c r="A63" s="10">
        <v>23184</v>
      </c>
      <c r="B63" s="11">
        <v>42893</v>
      </c>
      <c r="C63" s="12">
        <v>374.55</v>
      </c>
      <c r="D63" s="12">
        <v>28.55</v>
      </c>
      <c r="E63" s="15" t="s">
        <v>533</v>
      </c>
      <c r="F63" s="259"/>
      <c r="G63" s="260"/>
      <c r="H63" s="10"/>
      <c r="I63" s="10"/>
    </row>
    <row r="64" spans="1:9" x14ac:dyDescent="0.2">
      <c r="A64" s="10">
        <v>23185</v>
      </c>
      <c r="B64" s="11">
        <v>42893</v>
      </c>
      <c r="C64" s="12">
        <v>156.41999999999999</v>
      </c>
      <c r="D64" s="12">
        <v>11.92</v>
      </c>
      <c r="E64" s="15" t="s">
        <v>533</v>
      </c>
      <c r="F64" s="259"/>
      <c r="G64" s="260"/>
      <c r="H64" s="10"/>
      <c r="I64" s="10"/>
    </row>
    <row r="65" spans="1:9" x14ac:dyDescent="0.2">
      <c r="A65" s="10">
        <v>23186</v>
      </c>
      <c r="B65" s="11">
        <v>42893</v>
      </c>
      <c r="C65" s="12">
        <v>21.65</v>
      </c>
      <c r="D65" s="12">
        <v>1.65</v>
      </c>
      <c r="E65" s="15" t="s">
        <v>11</v>
      </c>
      <c r="I65" s="10"/>
    </row>
    <row r="66" spans="1:9" x14ac:dyDescent="0.2">
      <c r="A66" s="10">
        <v>23187</v>
      </c>
      <c r="B66" s="11">
        <v>42893</v>
      </c>
      <c r="C66" s="12">
        <v>169.41</v>
      </c>
      <c r="D66" s="12">
        <v>12.91</v>
      </c>
      <c r="E66" s="17"/>
      <c r="I66" s="10"/>
    </row>
    <row r="67" spans="1:9" x14ac:dyDescent="0.2">
      <c r="A67" s="10">
        <v>23188</v>
      </c>
      <c r="B67" s="11">
        <v>42893</v>
      </c>
      <c r="C67" s="12">
        <v>267</v>
      </c>
      <c r="D67" s="12">
        <v>20.350000000000001</v>
      </c>
      <c r="E67" s="17"/>
      <c r="F67" s="257">
        <f>350+C61+100+C65+252.08</f>
        <v>731.25</v>
      </c>
      <c r="G67" s="258">
        <f>+F67*0.97831</f>
        <v>715.38918750000005</v>
      </c>
      <c r="H67" s="253" t="s">
        <v>1074</v>
      </c>
      <c r="I67" s="10"/>
    </row>
    <row r="68" spans="1:9" x14ac:dyDescent="0.2">
      <c r="A68" s="10">
        <v>23189</v>
      </c>
      <c r="B68" s="11">
        <v>42894</v>
      </c>
      <c r="C68" s="12">
        <v>798.89</v>
      </c>
      <c r="D68" s="12">
        <v>60.89</v>
      </c>
      <c r="E68" s="13" t="s">
        <v>1075</v>
      </c>
      <c r="F68" s="261"/>
      <c r="G68" s="262"/>
      <c r="H68" s="12"/>
      <c r="I68" s="10"/>
    </row>
    <row r="69" spans="1:9" x14ac:dyDescent="0.2">
      <c r="A69" s="10">
        <v>23190</v>
      </c>
      <c r="B69" s="11">
        <v>42894</v>
      </c>
      <c r="C69" s="12">
        <v>258</v>
      </c>
      <c r="D69" s="12">
        <v>19.66</v>
      </c>
      <c r="E69" s="13" t="s">
        <v>1076</v>
      </c>
      <c r="I69" s="10"/>
    </row>
    <row r="70" spans="1:9" x14ac:dyDescent="0.2">
      <c r="A70" s="10">
        <v>23191</v>
      </c>
      <c r="B70" s="11">
        <v>42894</v>
      </c>
      <c r="C70" s="12">
        <v>95.100000000000009</v>
      </c>
      <c r="D70" s="12">
        <v>7.25</v>
      </c>
      <c r="E70" s="15" t="s">
        <v>21</v>
      </c>
      <c r="I70" s="10"/>
    </row>
    <row r="71" spans="1:9" x14ac:dyDescent="0.2">
      <c r="A71" s="10">
        <v>23192</v>
      </c>
      <c r="B71" s="11">
        <v>42894</v>
      </c>
      <c r="C71" s="12">
        <v>23.82</v>
      </c>
      <c r="D71" s="12">
        <v>1.82</v>
      </c>
      <c r="E71" s="17"/>
      <c r="F71" s="261"/>
      <c r="G71" s="262"/>
      <c r="H71" s="12"/>
      <c r="I71" s="10"/>
    </row>
    <row r="72" spans="1:9" x14ac:dyDescent="0.2">
      <c r="A72" s="10">
        <v>23193</v>
      </c>
      <c r="B72" s="11">
        <v>42894</v>
      </c>
      <c r="C72" s="12">
        <v>25.08</v>
      </c>
      <c r="D72" s="12"/>
      <c r="E72" s="15" t="s">
        <v>16</v>
      </c>
      <c r="I72" s="10"/>
    </row>
    <row r="73" spans="1:9" x14ac:dyDescent="0.2">
      <c r="A73" s="10">
        <v>23194</v>
      </c>
      <c r="B73" s="11">
        <v>42894</v>
      </c>
      <c r="C73" s="12">
        <v>174.82</v>
      </c>
      <c r="D73" s="12">
        <v>13.32</v>
      </c>
      <c r="E73" s="17"/>
      <c r="F73" s="263">
        <v>0</v>
      </c>
      <c r="G73" s="263">
        <f>+F73*0.97831</f>
        <v>0</v>
      </c>
      <c r="H73" s="253"/>
      <c r="I73" s="10"/>
    </row>
    <row r="74" spans="1:9" x14ac:dyDescent="0.2">
      <c r="A74" s="10">
        <v>23195</v>
      </c>
      <c r="B74" s="11">
        <v>42895</v>
      </c>
      <c r="C74" s="12">
        <v>7.58</v>
      </c>
      <c r="D74" s="12">
        <v>0.57999999999999996</v>
      </c>
      <c r="E74" s="15" t="s">
        <v>11</v>
      </c>
      <c r="I74" s="10"/>
    </row>
    <row r="75" spans="1:9" x14ac:dyDescent="0.2">
      <c r="A75" s="10">
        <v>23196</v>
      </c>
      <c r="B75" s="11">
        <v>42895</v>
      </c>
      <c r="C75" s="12">
        <v>69.28</v>
      </c>
      <c r="D75" s="12">
        <v>5.28</v>
      </c>
      <c r="E75" s="15" t="s">
        <v>11</v>
      </c>
      <c r="F75" s="259"/>
      <c r="G75" s="260"/>
      <c r="H75" s="10"/>
      <c r="I75" s="10"/>
    </row>
    <row r="76" spans="1:9" x14ac:dyDescent="0.2">
      <c r="A76" s="10">
        <v>23197</v>
      </c>
      <c r="B76" s="11">
        <v>42895</v>
      </c>
      <c r="C76" s="12">
        <v>28</v>
      </c>
      <c r="D76" s="12"/>
      <c r="E76" s="15" t="s">
        <v>60</v>
      </c>
      <c r="I76" s="10"/>
    </row>
    <row r="77" spans="1:9" x14ac:dyDescent="0.2">
      <c r="A77" s="10">
        <v>23198</v>
      </c>
      <c r="B77" s="11">
        <v>42895</v>
      </c>
      <c r="C77" s="12">
        <v>117.99</v>
      </c>
      <c r="D77" s="12">
        <v>8.99</v>
      </c>
      <c r="E77" s="15" t="s">
        <v>7</v>
      </c>
      <c r="I77" s="10"/>
    </row>
    <row r="78" spans="1:9" x14ac:dyDescent="0.2">
      <c r="A78" s="10">
        <v>23199</v>
      </c>
      <c r="B78" s="11">
        <v>42895</v>
      </c>
      <c r="C78" s="12">
        <v>612.6400000000001</v>
      </c>
      <c r="D78" s="12">
        <v>46.69</v>
      </c>
      <c r="E78" s="15" t="s">
        <v>11</v>
      </c>
      <c r="F78" s="259"/>
      <c r="G78" s="260"/>
      <c r="H78" s="10"/>
      <c r="I78" s="10"/>
    </row>
    <row r="79" spans="1:9" x14ac:dyDescent="0.2">
      <c r="A79" s="10">
        <v>23200</v>
      </c>
      <c r="B79" s="11">
        <v>42895</v>
      </c>
      <c r="C79" s="12">
        <v>59</v>
      </c>
      <c r="D79" s="12">
        <v>4.5</v>
      </c>
      <c r="E79" s="13"/>
      <c r="F79" s="261"/>
      <c r="G79" s="262"/>
      <c r="H79" s="12"/>
      <c r="I79" s="10"/>
    </row>
    <row r="80" spans="1:9" x14ac:dyDescent="0.2">
      <c r="A80" s="10">
        <v>23201</v>
      </c>
      <c r="B80" s="11">
        <v>42895</v>
      </c>
      <c r="C80" s="12">
        <v>27.7</v>
      </c>
      <c r="D80" s="12">
        <v>2.11</v>
      </c>
      <c r="E80" s="15" t="s">
        <v>11</v>
      </c>
      <c r="I80" s="10"/>
    </row>
    <row r="81" spans="1:9" x14ac:dyDescent="0.2">
      <c r="A81" s="10">
        <v>23202</v>
      </c>
      <c r="B81" s="11">
        <v>42895</v>
      </c>
      <c r="C81" s="12">
        <v>69.17</v>
      </c>
      <c r="D81" s="12">
        <v>5.27</v>
      </c>
      <c r="E81" s="15" t="s">
        <v>11</v>
      </c>
      <c r="I81" s="10"/>
    </row>
    <row r="82" spans="1:9" x14ac:dyDescent="0.2">
      <c r="A82" s="10">
        <v>23203</v>
      </c>
      <c r="B82" s="11">
        <v>42895</v>
      </c>
      <c r="C82" s="12">
        <v>151.55000000000001</v>
      </c>
      <c r="D82" s="12">
        <v>11.55</v>
      </c>
      <c r="E82" s="15" t="s">
        <v>11</v>
      </c>
      <c r="F82" s="257">
        <f>+C74+C75+C77+262.64+C80+C81+C82</f>
        <v>705.91000000000008</v>
      </c>
      <c r="G82" s="258">
        <f>+F82*0.97831</f>
        <v>690.59881210000015</v>
      </c>
      <c r="H82" s="253"/>
      <c r="I82" s="10"/>
    </row>
    <row r="83" spans="1:9" x14ac:dyDescent="0.2">
      <c r="A83" s="10">
        <v>23204</v>
      </c>
      <c r="B83" s="11">
        <v>42896</v>
      </c>
      <c r="C83" s="12">
        <v>23.09</v>
      </c>
      <c r="D83" s="12">
        <v>1.91</v>
      </c>
      <c r="E83" s="17"/>
      <c r="I83" s="10"/>
    </row>
    <row r="84" spans="1:9" x14ac:dyDescent="0.2">
      <c r="A84" s="10">
        <v>23205</v>
      </c>
      <c r="B84" s="11">
        <v>42896</v>
      </c>
      <c r="C84" s="12">
        <v>305.57</v>
      </c>
      <c r="D84" s="12">
        <v>23.29</v>
      </c>
      <c r="E84" s="17"/>
      <c r="F84" s="261"/>
      <c r="G84" s="262"/>
      <c r="H84" s="12"/>
      <c r="I84" s="10"/>
    </row>
    <row r="85" spans="1:9" x14ac:dyDescent="0.2">
      <c r="A85" s="10">
        <v>23206</v>
      </c>
      <c r="B85" s="11">
        <v>42896</v>
      </c>
      <c r="C85" s="12">
        <v>10.77</v>
      </c>
      <c r="D85" s="12">
        <v>0.82</v>
      </c>
      <c r="E85" s="17"/>
      <c r="F85" s="261"/>
      <c r="G85" s="262"/>
      <c r="H85" s="12"/>
      <c r="I85" s="10"/>
    </row>
    <row r="86" spans="1:9" x14ac:dyDescent="0.2">
      <c r="A86" s="10">
        <v>23207</v>
      </c>
      <c r="B86" s="11">
        <v>42896</v>
      </c>
      <c r="C86" s="12">
        <v>322.04000000000002</v>
      </c>
      <c r="D86" s="12">
        <v>24.54</v>
      </c>
      <c r="E86" s="15" t="s">
        <v>1077</v>
      </c>
      <c r="F86" s="259"/>
      <c r="G86" s="260"/>
      <c r="H86" s="10"/>
      <c r="I86" s="10"/>
    </row>
    <row r="87" spans="1:9" x14ac:dyDescent="0.2">
      <c r="A87" s="10">
        <v>23208</v>
      </c>
      <c r="B87" s="11">
        <v>42896</v>
      </c>
      <c r="C87" s="12">
        <v>14.02</v>
      </c>
      <c r="D87" s="12">
        <v>1.07</v>
      </c>
      <c r="E87" s="17"/>
      <c r="F87" s="261"/>
      <c r="G87" s="262"/>
      <c r="H87" s="12"/>
      <c r="I87" s="10"/>
    </row>
    <row r="88" spans="1:9" x14ac:dyDescent="0.2">
      <c r="A88" s="10">
        <v>23209</v>
      </c>
      <c r="B88" s="11">
        <v>42896</v>
      </c>
      <c r="C88" s="12">
        <v>252.76</v>
      </c>
      <c r="D88" s="12">
        <v>19.260000000000002</v>
      </c>
      <c r="E88" s="17"/>
      <c r="F88" s="261"/>
      <c r="G88" s="262"/>
      <c r="H88" s="12"/>
      <c r="I88" s="10"/>
    </row>
    <row r="89" spans="1:9" x14ac:dyDescent="0.2">
      <c r="A89" s="10">
        <v>23210</v>
      </c>
      <c r="B89" s="11">
        <v>42896</v>
      </c>
      <c r="C89" s="12">
        <v>146.68</v>
      </c>
      <c r="D89" s="12">
        <v>11.18</v>
      </c>
      <c r="E89" s="17"/>
      <c r="I89" s="10"/>
    </row>
    <row r="90" spans="1:9" x14ac:dyDescent="0.2">
      <c r="A90" s="10">
        <v>23211</v>
      </c>
      <c r="B90" s="11">
        <v>42896</v>
      </c>
      <c r="C90" s="12">
        <v>31.39</v>
      </c>
      <c r="D90" s="12">
        <v>2.39</v>
      </c>
      <c r="E90" s="17"/>
      <c r="F90" s="261"/>
      <c r="G90" s="262"/>
      <c r="H90" s="12"/>
      <c r="I90" s="10"/>
    </row>
    <row r="91" spans="1:9" x14ac:dyDescent="0.2">
      <c r="A91" s="10">
        <v>23212</v>
      </c>
      <c r="B91" s="11">
        <v>42896</v>
      </c>
      <c r="C91" s="12">
        <v>21.599999999999998</v>
      </c>
      <c r="D91" s="12">
        <v>1.65</v>
      </c>
      <c r="E91" s="17"/>
      <c r="I91" s="10"/>
    </row>
    <row r="92" spans="1:9" x14ac:dyDescent="0.2">
      <c r="A92" s="10">
        <v>23213</v>
      </c>
      <c r="B92" s="11">
        <v>42896</v>
      </c>
      <c r="C92" s="12">
        <v>96.34</v>
      </c>
      <c r="D92" s="12">
        <v>7.34</v>
      </c>
      <c r="E92" s="15" t="s">
        <v>26</v>
      </c>
      <c r="I92" s="10"/>
    </row>
    <row r="93" spans="1:9" x14ac:dyDescent="0.2">
      <c r="A93" s="10">
        <v>23214</v>
      </c>
      <c r="B93" s="11">
        <v>42896</v>
      </c>
      <c r="C93" s="12">
        <v>108.34</v>
      </c>
      <c r="D93" s="12">
        <v>7.34</v>
      </c>
      <c r="E93" s="13" t="s">
        <v>1078</v>
      </c>
      <c r="F93" s="261"/>
      <c r="G93" s="262"/>
      <c r="H93" s="12"/>
      <c r="I93" s="10"/>
    </row>
    <row r="94" spans="1:9" x14ac:dyDescent="0.2">
      <c r="A94" s="10">
        <v>23215</v>
      </c>
      <c r="B94" s="11">
        <v>42896</v>
      </c>
      <c r="C94" s="12">
        <v>6</v>
      </c>
      <c r="D94" s="12">
        <v>0.46</v>
      </c>
      <c r="E94" s="17"/>
      <c r="F94" s="261"/>
      <c r="G94" s="262"/>
      <c r="H94" s="12"/>
      <c r="I94" s="10"/>
    </row>
    <row r="95" spans="1:9" x14ac:dyDescent="0.2">
      <c r="A95" s="10">
        <v>23216</v>
      </c>
      <c r="B95" s="11">
        <v>42896</v>
      </c>
      <c r="C95" s="12">
        <v>63.87</v>
      </c>
      <c r="D95" s="12">
        <v>4.87</v>
      </c>
      <c r="E95" s="15" t="s">
        <v>533</v>
      </c>
      <c r="F95" s="259"/>
      <c r="G95" s="260"/>
      <c r="H95" s="10"/>
      <c r="I95" s="10"/>
    </row>
    <row r="96" spans="1:9" x14ac:dyDescent="0.2">
      <c r="A96" s="10">
        <v>23217</v>
      </c>
      <c r="B96" s="11">
        <v>42896</v>
      </c>
      <c r="C96" s="12">
        <v>25.98</v>
      </c>
      <c r="D96" s="12">
        <v>1.98</v>
      </c>
      <c r="E96" s="15" t="s">
        <v>533</v>
      </c>
      <c r="I96" s="10"/>
    </row>
    <row r="97" spans="1:9" x14ac:dyDescent="0.2">
      <c r="A97" s="10">
        <v>23218</v>
      </c>
      <c r="B97" s="11">
        <v>42896</v>
      </c>
      <c r="C97" s="12">
        <v>242.48</v>
      </c>
      <c r="D97" s="12">
        <v>18.48</v>
      </c>
      <c r="E97" s="15" t="s">
        <v>533</v>
      </c>
      <c r="F97" s="257">
        <v>100</v>
      </c>
      <c r="G97" s="258">
        <f>+F97*0.97831</f>
        <v>97.831000000000003</v>
      </c>
      <c r="H97" s="253" t="s">
        <v>1079</v>
      </c>
      <c r="I97" s="10"/>
    </row>
    <row r="98" spans="1:9" x14ac:dyDescent="0.2">
      <c r="A98" s="10">
        <v>23219</v>
      </c>
      <c r="B98" s="11">
        <v>42898</v>
      </c>
      <c r="C98" s="12">
        <v>22</v>
      </c>
      <c r="D98" s="12">
        <v>1.68</v>
      </c>
      <c r="E98" s="15" t="s">
        <v>11</v>
      </c>
      <c r="I98" s="10"/>
    </row>
    <row r="99" spans="1:9" x14ac:dyDescent="0.2">
      <c r="A99" s="10">
        <v>23220</v>
      </c>
      <c r="B99" s="11">
        <v>42898</v>
      </c>
      <c r="C99" s="12">
        <v>71.7</v>
      </c>
      <c r="D99" s="12"/>
      <c r="E99" s="15" t="s">
        <v>60</v>
      </c>
      <c r="I99" s="10"/>
    </row>
    <row r="100" spans="1:9" x14ac:dyDescent="0.2">
      <c r="A100" s="10">
        <v>23221</v>
      </c>
      <c r="B100" s="11">
        <v>42898</v>
      </c>
      <c r="C100" s="12">
        <v>46</v>
      </c>
      <c r="D100" s="12"/>
      <c r="E100" s="15" t="s">
        <v>60</v>
      </c>
      <c r="F100" s="259"/>
      <c r="G100" s="260"/>
      <c r="H100" s="10"/>
      <c r="I100" s="10"/>
    </row>
    <row r="101" spans="1:9" x14ac:dyDescent="0.2">
      <c r="A101" s="10">
        <v>23222</v>
      </c>
      <c r="B101" s="11">
        <v>42898</v>
      </c>
      <c r="C101" s="12">
        <v>10.77</v>
      </c>
      <c r="D101" s="12">
        <v>0.82</v>
      </c>
      <c r="E101" s="17"/>
      <c r="I101" s="10"/>
    </row>
    <row r="102" spans="1:9" x14ac:dyDescent="0.2">
      <c r="A102" s="10">
        <v>23223</v>
      </c>
      <c r="B102" s="11">
        <v>42898</v>
      </c>
      <c r="C102" s="12">
        <v>45.47</v>
      </c>
      <c r="D102" s="12">
        <v>3.47</v>
      </c>
      <c r="E102" s="15" t="s">
        <v>21</v>
      </c>
      <c r="F102" s="21"/>
      <c r="G102" s="22"/>
      <c r="H102" s="10"/>
      <c r="I102" s="10"/>
    </row>
    <row r="103" spans="1:9" x14ac:dyDescent="0.2">
      <c r="A103" s="10">
        <v>23224</v>
      </c>
      <c r="B103" s="11">
        <v>42898</v>
      </c>
      <c r="C103" s="12">
        <v>21.599999999999998</v>
      </c>
      <c r="D103" s="12">
        <v>1.65</v>
      </c>
      <c r="E103" s="13"/>
      <c r="F103" s="18"/>
      <c r="G103" s="19"/>
      <c r="H103" s="12"/>
      <c r="I103" s="10"/>
    </row>
    <row r="104" spans="1:9" x14ac:dyDescent="0.2">
      <c r="A104" s="10">
        <v>23225</v>
      </c>
      <c r="B104" s="11">
        <v>42898</v>
      </c>
      <c r="C104" s="12">
        <v>17</v>
      </c>
      <c r="D104" s="12">
        <v>1.3</v>
      </c>
      <c r="E104" s="13"/>
      <c r="F104" s="18"/>
      <c r="G104" s="19"/>
      <c r="H104" s="12"/>
      <c r="I104" s="10"/>
    </row>
    <row r="105" spans="1:9" x14ac:dyDescent="0.2">
      <c r="A105" s="10">
        <v>23226</v>
      </c>
      <c r="B105" s="11">
        <v>42898</v>
      </c>
      <c r="C105" s="12">
        <v>10.83</v>
      </c>
      <c r="D105" s="12">
        <v>0.83</v>
      </c>
      <c r="E105" s="13"/>
      <c r="F105" s="18"/>
      <c r="G105" s="19"/>
      <c r="H105" s="12"/>
      <c r="I105" s="10"/>
    </row>
    <row r="106" spans="1:9" x14ac:dyDescent="0.2">
      <c r="A106" s="10">
        <v>23227</v>
      </c>
      <c r="B106" s="11">
        <v>42898</v>
      </c>
      <c r="C106" s="12">
        <v>16</v>
      </c>
      <c r="D106" s="12">
        <v>1.22</v>
      </c>
      <c r="E106" s="13"/>
      <c r="F106" s="18"/>
      <c r="G106" s="19"/>
      <c r="H106" s="12"/>
      <c r="I106" s="10"/>
    </row>
    <row r="107" spans="1:9" x14ac:dyDescent="0.2">
      <c r="A107" s="10">
        <v>23228</v>
      </c>
      <c r="B107" s="11">
        <v>42898</v>
      </c>
      <c r="C107" s="12">
        <v>286.32</v>
      </c>
      <c r="D107" s="12">
        <v>21.82</v>
      </c>
      <c r="E107" s="15" t="s">
        <v>11</v>
      </c>
      <c r="I107" s="10"/>
    </row>
    <row r="108" spans="1:9" x14ac:dyDescent="0.2">
      <c r="A108" s="10">
        <v>23229</v>
      </c>
      <c r="B108" s="11">
        <v>42898</v>
      </c>
      <c r="C108" s="12">
        <v>24.84</v>
      </c>
      <c r="D108" s="12">
        <v>1.89</v>
      </c>
      <c r="E108" s="17"/>
      <c r="F108" s="261"/>
      <c r="G108" s="262"/>
      <c r="H108" s="12"/>
      <c r="I108" s="10"/>
    </row>
    <row r="109" spans="1:9" x14ac:dyDescent="0.2">
      <c r="A109" s="10">
        <v>23230</v>
      </c>
      <c r="B109" s="11">
        <v>42898</v>
      </c>
      <c r="C109" s="12">
        <v>251.51</v>
      </c>
      <c r="D109" s="12">
        <v>19.170000000000002</v>
      </c>
      <c r="E109" s="15" t="s">
        <v>7</v>
      </c>
      <c r="I109" s="10"/>
    </row>
    <row r="110" spans="1:9" x14ac:dyDescent="0.2">
      <c r="A110" s="10">
        <v>23231</v>
      </c>
      <c r="B110" s="11">
        <v>42898</v>
      </c>
      <c r="C110" s="12">
        <v>10.780000000000001</v>
      </c>
      <c r="D110" s="12">
        <v>0.82</v>
      </c>
      <c r="E110" s="17"/>
      <c r="F110" s="261"/>
      <c r="G110" s="262"/>
      <c r="H110" s="12"/>
      <c r="I110" s="10"/>
    </row>
    <row r="111" spans="1:9" x14ac:dyDescent="0.2">
      <c r="A111" s="10">
        <v>23232</v>
      </c>
      <c r="B111" s="11">
        <v>42898</v>
      </c>
      <c r="C111" s="12">
        <v>53.04</v>
      </c>
      <c r="D111" s="12">
        <v>4.04</v>
      </c>
      <c r="E111" s="17"/>
      <c r="F111" s="261"/>
      <c r="G111" s="262"/>
      <c r="H111" s="12"/>
      <c r="I111" s="10"/>
    </row>
    <row r="112" spans="1:9" x14ac:dyDescent="0.2">
      <c r="A112" s="10">
        <v>23233</v>
      </c>
      <c r="B112" s="11">
        <v>42898</v>
      </c>
      <c r="C112" s="12">
        <v>12.94</v>
      </c>
      <c r="D112" s="12">
        <v>0.99</v>
      </c>
      <c r="E112" s="15" t="s">
        <v>7</v>
      </c>
      <c r="F112" s="257">
        <f>+C98+C107+249.51+C112</f>
        <v>570.77</v>
      </c>
      <c r="G112" s="258">
        <f>+F112*0.97831</f>
        <v>558.38999869999998</v>
      </c>
      <c r="H112" s="253"/>
      <c r="I112" s="10"/>
    </row>
    <row r="113" spans="1:9" x14ac:dyDescent="0.2">
      <c r="A113" s="10">
        <v>23234</v>
      </c>
      <c r="B113" s="11">
        <v>42899</v>
      </c>
      <c r="C113" s="12">
        <v>181.32</v>
      </c>
      <c r="D113" s="12">
        <v>13.82</v>
      </c>
      <c r="E113" s="15" t="s">
        <v>1080</v>
      </c>
      <c r="I113" s="10"/>
    </row>
    <row r="114" spans="1:9" x14ac:dyDescent="0.2">
      <c r="A114" s="10">
        <v>23235</v>
      </c>
      <c r="B114" s="11">
        <v>42899</v>
      </c>
      <c r="C114" s="12">
        <v>7.58</v>
      </c>
      <c r="D114" s="12">
        <v>0.57999999999999996</v>
      </c>
      <c r="E114" s="17"/>
      <c r="F114" s="261"/>
      <c r="G114" s="262"/>
      <c r="H114" s="12"/>
      <c r="I114" s="10"/>
    </row>
    <row r="115" spans="1:9" x14ac:dyDescent="0.2">
      <c r="A115" s="10">
        <v>23236</v>
      </c>
      <c r="B115" s="11">
        <v>42899</v>
      </c>
      <c r="C115" s="12">
        <v>179.7</v>
      </c>
      <c r="D115" s="12">
        <v>13.7</v>
      </c>
      <c r="E115" s="15" t="s">
        <v>7</v>
      </c>
      <c r="I115" s="10"/>
    </row>
    <row r="116" spans="1:9" x14ac:dyDescent="0.2">
      <c r="A116" s="10">
        <v>23237</v>
      </c>
      <c r="B116" s="11">
        <v>42899</v>
      </c>
      <c r="C116" s="12">
        <v>38.75</v>
      </c>
      <c r="D116" s="12">
        <v>2.95</v>
      </c>
      <c r="E116" s="17"/>
      <c r="I116" s="10"/>
    </row>
    <row r="117" spans="1:9" x14ac:dyDescent="0.2">
      <c r="A117" s="10">
        <v>23238</v>
      </c>
      <c r="B117" s="11">
        <v>42899</v>
      </c>
      <c r="C117" s="12">
        <v>64.95</v>
      </c>
      <c r="D117" s="12">
        <v>4.95</v>
      </c>
      <c r="E117" s="15" t="s">
        <v>533</v>
      </c>
      <c r="F117" s="257">
        <f>80+C115+250</f>
        <v>509.7</v>
      </c>
      <c r="G117" s="258">
        <f>+F117*0.97831</f>
        <v>498.64460700000001</v>
      </c>
      <c r="H117" s="253"/>
      <c r="I117" s="10"/>
    </row>
    <row r="118" spans="1:9" x14ac:dyDescent="0.2">
      <c r="A118" s="10">
        <v>23239</v>
      </c>
      <c r="B118" s="11">
        <v>42900</v>
      </c>
      <c r="C118" s="12">
        <v>14.07</v>
      </c>
      <c r="D118" s="12">
        <v>1.07</v>
      </c>
      <c r="E118" s="15" t="s">
        <v>13</v>
      </c>
      <c r="I118" s="10"/>
    </row>
    <row r="119" spans="1:9" x14ac:dyDescent="0.2">
      <c r="A119" s="10">
        <v>23240</v>
      </c>
      <c r="B119" s="11">
        <v>42900</v>
      </c>
      <c r="C119" s="12">
        <v>21.65</v>
      </c>
      <c r="D119" s="12">
        <v>1.65</v>
      </c>
      <c r="E119" s="15" t="s">
        <v>21</v>
      </c>
      <c r="F119" s="259"/>
      <c r="G119" s="260"/>
      <c r="H119" s="10"/>
      <c r="I119" s="10"/>
    </row>
    <row r="120" spans="1:9" x14ac:dyDescent="0.2">
      <c r="A120" s="10">
        <v>23241</v>
      </c>
      <c r="B120" s="11">
        <v>42900</v>
      </c>
      <c r="C120" s="12">
        <v>25.98</v>
      </c>
      <c r="D120" s="12">
        <v>1.98</v>
      </c>
      <c r="E120" s="15" t="s">
        <v>11</v>
      </c>
      <c r="I120" s="10"/>
    </row>
    <row r="121" spans="1:9" x14ac:dyDescent="0.2">
      <c r="A121" s="10">
        <v>23242</v>
      </c>
      <c r="B121" s="11">
        <v>42900</v>
      </c>
      <c r="C121" s="12">
        <v>48.98</v>
      </c>
      <c r="D121" s="12"/>
      <c r="E121" s="15" t="s">
        <v>16</v>
      </c>
      <c r="F121" s="259"/>
      <c r="G121" s="260"/>
      <c r="H121" s="10"/>
      <c r="I121" s="10"/>
    </row>
    <row r="122" spans="1:9" x14ac:dyDescent="0.2">
      <c r="A122" s="10">
        <v>23243</v>
      </c>
      <c r="B122" s="11">
        <v>42900</v>
      </c>
      <c r="C122" s="12">
        <v>25</v>
      </c>
      <c r="D122" s="12"/>
      <c r="E122" s="13" t="s">
        <v>521</v>
      </c>
      <c r="I122" s="10"/>
    </row>
    <row r="123" spans="1:9" x14ac:dyDescent="0.2">
      <c r="A123" s="10">
        <v>23244</v>
      </c>
      <c r="B123" s="11">
        <v>42900</v>
      </c>
      <c r="C123" s="12">
        <v>20.57</v>
      </c>
      <c r="D123" s="12">
        <v>1.57</v>
      </c>
      <c r="E123" s="17"/>
      <c r="F123" s="261"/>
      <c r="G123" s="262"/>
      <c r="H123" s="12"/>
      <c r="I123" s="10"/>
    </row>
    <row r="124" spans="1:9" x14ac:dyDescent="0.2">
      <c r="A124" s="10">
        <v>23245</v>
      </c>
      <c r="B124" s="11">
        <v>42900</v>
      </c>
      <c r="C124" s="12">
        <v>3.25</v>
      </c>
      <c r="D124" s="12">
        <v>0.25</v>
      </c>
      <c r="E124" s="17"/>
      <c r="F124" s="261"/>
      <c r="G124" s="262"/>
      <c r="H124" s="12"/>
      <c r="I124" s="10"/>
    </row>
    <row r="125" spans="1:9" x14ac:dyDescent="0.2">
      <c r="A125" s="10">
        <v>23246</v>
      </c>
      <c r="B125" s="11">
        <v>42900</v>
      </c>
      <c r="C125" s="12">
        <v>153</v>
      </c>
      <c r="D125" s="12">
        <v>11.66</v>
      </c>
      <c r="E125" s="17"/>
      <c r="F125" s="261"/>
      <c r="G125" s="262"/>
      <c r="H125" s="12"/>
      <c r="I125" s="10"/>
    </row>
    <row r="126" spans="1:9" x14ac:dyDescent="0.2">
      <c r="A126" s="10">
        <v>23247</v>
      </c>
      <c r="B126" s="11">
        <v>42900</v>
      </c>
      <c r="C126" s="12">
        <v>92.01</v>
      </c>
      <c r="D126" s="12">
        <v>7.01</v>
      </c>
      <c r="E126" s="15" t="s">
        <v>11</v>
      </c>
      <c r="F126" s="259"/>
      <c r="G126" s="260"/>
      <c r="H126" s="10"/>
      <c r="I126" s="10"/>
    </row>
    <row r="127" spans="1:9" x14ac:dyDescent="0.2">
      <c r="A127" s="10">
        <v>23248</v>
      </c>
      <c r="B127" s="11">
        <v>42900</v>
      </c>
      <c r="C127" s="12">
        <v>136</v>
      </c>
      <c r="D127" s="12"/>
      <c r="E127" s="15" t="s">
        <v>10</v>
      </c>
      <c r="I127" s="10"/>
    </row>
    <row r="128" spans="1:9" x14ac:dyDescent="0.2">
      <c r="A128" s="10">
        <v>23249</v>
      </c>
      <c r="B128" s="11">
        <v>42900</v>
      </c>
      <c r="C128" s="12">
        <v>92.01</v>
      </c>
      <c r="D128" s="12">
        <v>7.01</v>
      </c>
      <c r="E128" s="15" t="s">
        <v>1081</v>
      </c>
      <c r="I128" s="10"/>
    </row>
    <row r="129" spans="1:9" x14ac:dyDescent="0.2">
      <c r="A129" s="10">
        <v>23250</v>
      </c>
      <c r="B129" s="11">
        <v>42900</v>
      </c>
      <c r="C129" s="12">
        <v>20</v>
      </c>
      <c r="D129" s="12">
        <v>1.52</v>
      </c>
      <c r="E129" s="15"/>
      <c r="F129" s="259"/>
      <c r="G129" s="260"/>
      <c r="H129" s="10"/>
      <c r="I129" s="10"/>
    </row>
    <row r="130" spans="1:9" x14ac:dyDescent="0.2">
      <c r="A130" s="10">
        <v>23251</v>
      </c>
      <c r="B130" s="11">
        <v>42900</v>
      </c>
      <c r="C130" s="12">
        <v>112.58</v>
      </c>
      <c r="D130" s="12">
        <v>8.58</v>
      </c>
      <c r="E130" s="15" t="s">
        <v>11</v>
      </c>
      <c r="I130" s="10"/>
    </row>
    <row r="131" spans="1:9" x14ac:dyDescent="0.2">
      <c r="A131" s="10">
        <v>23252</v>
      </c>
      <c r="B131" s="11">
        <v>42900</v>
      </c>
      <c r="C131" s="12">
        <v>5</v>
      </c>
      <c r="D131" s="12"/>
      <c r="E131" s="15" t="s">
        <v>8</v>
      </c>
      <c r="I131" s="10"/>
    </row>
    <row r="132" spans="1:9" x14ac:dyDescent="0.2">
      <c r="A132" s="10">
        <v>23253</v>
      </c>
      <c r="B132" s="11">
        <v>42900</v>
      </c>
      <c r="C132" s="12">
        <v>11.97</v>
      </c>
      <c r="D132" s="12"/>
      <c r="E132" s="13" t="s">
        <v>8</v>
      </c>
      <c r="F132" s="257">
        <f>+C118+C120+73.2+C126</f>
        <v>205.26</v>
      </c>
      <c r="G132" s="258">
        <f>+F132*0.97831</f>
        <v>200.80791059999999</v>
      </c>
      <c r="H132" s="253"/>
      <c r="I132" s="10"/>
    </row>
    <row r="133" spans="1:9" x14ac:dyDescent="0.2">
      <c r="A133" s="10">
        <v>23254</v>
      </c>
      <c r="B133" s="11">
        <v>42901</v>
      </c>
      <c r="C133" s="12">
        <v>37.950000000000003</v>
      </c>
      <c r="D133" s="12"/>
      <c r="E133" s="15" t="s">
        <v>1069</v>
      </c>
      <c r="F133" s="259"/>
      <c r="G133" s="260"/>
      <c r="H133" s="10"/>
      <c r="I133" s="10"/>
    </row>
    <row r="134" spans="1:9" x14ac:dyDescent="0.2">
      <c r="A134" s="10">
        <v>23255</v>
      </c>
      <c r="B134" s="11">
        <v>42901</v>
      </c>
      <c r="C134" s="12">
        <v>166</v>
      </c>
      <c r="D134" s="12">
        <v>12.65</v>
      </c>
      <c r="E134" s="15"/>
      <c r="I134" s="10"/>
    </row>
    <row r="135" spans="1:9" x14ac:dyDescent="0.2">
      <c r="A135" s="10">
        <v>23256</v>
      </c>
      <c r="B135" s="11">
        <v>42901</v>
      </c>
      <c r="C135" s="12">
        <v>150</v>
      </c>
      <c r="D135" s="12"/>
      <c r="E135" s="15" t="s">
        <v>1082</v>
      </c>
      <c r="I135" s="10"/>
    </row>
    <row r="136" spans="1:9" x14ac:dyDescent="0.2">
      <c r="A136" s="10">
        <v>23257</v>
      </c>
      <c r="B136" s="11">
        <v>42901</v>
      </c>
      <c r="C136" s="12">
        <v>114.69</v>
      </c>
      <c r="D136" s="12">
        <v>8.74</v>
      </c>
      <c r="E136" s="15" t="s">
        <v>1083</v>
      </c>
      <c r="I136" s="10"/>
    </row>
    <row r="137" spans="1:9" x14ac:dyDescent="0.2">
      <c r="A137" s="10">
        <v>23258</v>
      </c>
      <c r="B137" s="11">
        <v>42901</v>
      </c>
      <c r="C137" s="12">
        <v>741.84</v>
      </c>
      <c r="D137" s="12">
        <v>56.54</v>
      </c>
      <c r="E137" s="15" t="s">
        <v>11</v>
      </c>
      <c r="F137" s="257">
        <f>+C133+C135+C130</f>
        <v>300.52999999999997</v>
      </c>
      <c r="G137" s="258">
        <f>+F137*0.97831</f>
        <v>294.01150429999996</v>
      </c>
      <c r="H137" s="253"/>
      <c r="I137" s="10"/>
    </row>
    <row r="138" spans="1:9" x14ac:dyDescent="0.2">
      <c r="A138" s="10">
        <v>23259</v>
      </c>
      <c r="B138" s="11">
        <v>42902</v>
      </c>
      <c r="C138" s="12">
        <v>64.95</v>
      </c>
      <c r="D138" s="12">
        <v>4.95</v>
      </c>
      <c r="E138" s="15" t="s">
        <v>11</v>
      </c>
      <c r="F138" s="259"/>
      <c r="G138" s="262"/>
      <c r="H138" s="10"/>
      <c r="I138" s="10"/>
    </row>
    <row r="139" spans="1:9" x14ac:dyDescent="0.2">
      <c r="A139" s="10">
        <v>23260</v>
      </c>
      <c r="B139" s="11">
        <v>42902</v>
      </c>
      <c r="C139" s="12">
        <v>300</v>
      </c>
      <c r="D139" s="12">
        <v>22.86</v>
      </c>
      <c r="E139" s="17"/>
      <c r="F139" s="261"/>
      <c r="G139" s="262"/>
      <c r="H139" s="12"/>
      <c r="I139" s="10"/>
    </row>
    <row r="140" spans="1:9" x14ac:dyDescent="0.2">
      <c r="A140" s="10">
        <v>23261</v>
      </c>
      <c r="B140" s="11">
        <v>42902</v>
      </c>
      <c r="C140" s="12">
        <v>29</v>
      </c>
      <c r="D140" s="12">
        <v>2.21</v>
      </c>
      <c r="E140" s="17"/>
      <c r="I140" s="10"/>
    </row>
    <row r="141" spans="1:9" x14ac:dyDescent="0.2">
      <c r="A141" s="10">
        <v>23262</v>
      </c>
      <c r="B141" s="11">
        <v>42902</v>
      </c>
      <c r="C141" s="12">
        <v>15</v>
      </c>
      <c r="D141" s="12">
        <v>1.1399999999999999</v>
      </c>
      <c r="E141" s="17"/>
      <c r="F141" s="261"/>
      <c r="G141" s="262"/>
      <c r="H141" s="12"/>
      <c r="I141" s="10"/>
    </row>
    <row r="142" spans="1:9" x14ac:dyDescent="0.2">
      <c r="A142" s="10">
        <v>23263</v>
      </c>
      <c r="B142" s="11">
        <v>42902</v>
      </c>
      <c r="C142" s="12">
        <v>217.57999999999998</v>
      </c>
      <c r="D142" s="12">
        <v>16.579999999999998</v>
      </c>
      <c r="E142" s="17"/>
      <c r="F142" s="261"/>
      <c r="G142" s="262"/>
      <c r="H142" s="12"/>
      <c r="I142" s="10"/>
    </row>
    <row r="143" spans="1:9" x14ac:dyDescent="0.2">
      <c r="A143" s="10">
        <v>23264</v>
      </c>
      <c r="B143" s="11">
        <v>42902</v>
      </c>
      <c r="C143" s="12">
        <v>11.91</v>
      </c>
      <c r="D143" s="12">
        <v>0.91</v>
      </c>
      <c r="E143" s="17"/>
      <c r="F143" s="261"/>
      <c r="G143" s="262"/>
      <c r="H143" s="12"/>
      <c r="I143" s="10"/>
    </row>
    <row r="144" spans="1:9" x14ac:dyDescent="0.2">
      <c r="A144" s="10">
        <v>23265</v>
      </c>
      <c r="B144" s="11">
        <v>42902</v>
      </c>
      <c r="C144" s="12">
        <v>128.82</v>
      </c>
      <c r="D144" s="12">
        <v>9.82</v>
      </c>
      <c r="E144" s="15" t="s">
        <v>21</v>
      </c>
      <c r="F144" s="259"/>
      <c r="G144" s="260"/>
      <c r="H144" s="10"/>
      <c r="I144" s="10"/>
    </row>
    <row r="145" spans="1:11" x14ac:dyDescent="0.2">
      <c r="A145" s="10">
        <v>23266</v>
      </c>
      <c r="B145" s="11">
        <v>42902</v>
      </c>
      <c r="C145" s="12">
        <v>147.76</v>
      </c>
      <c r="D145" s="12">
        <v>11.26</v>
      </c>
      <c r="E145" s="15" t="s">
        <v>11</v>
      </c>
      <c r="I145" s="10"/>
    </row>
    <row r="146" spans="1:11" x14ac:dyDescent="0.2">
      <c r="A146" s="10">
        <v>23267</v>
      </c>
      <c r="B146" s="11">
        <v>42902</v>
      </c>
      <c r="C146" s="12">
        <v>186.73</v>
      </c>
      <c r="D146" s="12">
        <v>14.23</v>
      </c>
      <c r="E146" s="15" t="s">
        <v>11</v>
      </c>
      <c r="I146" s="10"/>
    </row>
    <row r="147" spans="1:11" x14ac:dyDescent="0.2">
      <c r="A147" s="10">
        <v>23268</v>
      </c>
      <c r="B147" s="11">
        <v>42902</v>
      </c>
      <c r="C147" s="12">
        <v>85.000000000000014</v>
      </c>
      <c r="D147" s="12">
        <v>6.48</v>
      </c>
      <c r="E147" s="17"/>
      <c r="I147" s="10"/>
    </row>
    <row r="148" spans="1:11" x14ac:dyDescent="0.2">
      <c r="A148" s="10">
        <v>23269</v>
      </c>
      <c r="B148" s="11">
        <v>42902</v>
      </c>
      <c r="C148" s="12">
        <v>156.96</v>
      </c>
      <c r="D148" s="12">
        <v>11.96</v>
      </c>
      <c r="E148" s="15" t="s">
        <v>7</v>
      </c>
      <c r="I148" s="10"/>
    </row>
    <row r="149" spans="1:11" x14ac:dyDescent="0.2">
      <c r="A149" s="10">
        <v>23270</v>
      </c>
      <c r="B149" s="11">
        <v>42902</v>
      </c>
      <c r="C149" s="12">
        <v>160</v>
      </c>
      <c r="D149" s="12">
        <v>12.2</v>
      </c>
      <c r="E149" s="15"/>
      <c r="F149" s="257">
        <f>491.84+C138+C145+C146+21.65+C148</f>
        <v>1069.8899999999999</v>
      </c>
      <c r="G149" s="258">
        <f>+F149*0.97831</f>
        <v>1046.6840858999999</v>
      </c>
      <c r="H149" s="253"/>
      <c r="I149" s="10"/>
    </row>
    <row r="150" spans="1:11" x14ac:dyDescent="0.2">
      <c r="A150" s="10">
        <v>23271</v>
      </c>
      <c r="B150" s="11">
        <v>42903</v>
      </c>
      <c r="C150" s="12">
        <v>279.29000000000002</v>
      </c>
      <c r="D150" s="12">
        <v>21.29</v>
      </c>
      <c r="E150" s="15" t="s">
        <v>11</v>
      </c>
      <c r="I150" s="10"/>
    </row>
    <row r="151" spans="1:11" x14ac:dyDescent="0.2">
      <c r="A151" s="10">
        <v>23272</v>
      </c>
      <c r="B151" s="11">
        <v>42903</v>
      </c>
      <c r="C151" s="12">
        <v>109.02000000000001</v>
      </c>
      <c r="D151" s="12">
        <v>8.31</v>
      </c>
      <c r="E151" s="15" t="s">
        <v>533</v>
      </c>
      <c r="F151" s="259"/>
      <c r="G151" s="260"/>
      <c r="H151" s="10"/>
      <c r="I151" s="10"/>
    </row>
    <row r="152" spans="1:11" x14ac:dyDescent="0.2">
      <c r="A152" s="10">
        <v>23273</v>
      </c>
      <c r="B152" s="11">
        <v>42903</v>
      </c>
      <c r="C152" s="12">
        <v>14</v>
      </c>
      <c r="D152" s="12">
        <v>1.07</v>
      </c>
      <c r="E152" s="17"/>
      <c r="F152" s="261"/>
      <c r="G152" s="262"/>
      <c r="H152" s="12"/>
      <c r="I152" s="10"/>
    </row>
    <row r="153" spans="1:11" x14ac:dyDescent="0.2">
      <c r="A153" s="10">
        <v>23274</v>
      </c>
      <c r="B153" s="11">
        <v>42903</v>
      </c>
      <c r="C153" s="12">
        <v>28.450000000000003</v>
      </c>
      <c r="D153" s="12">
        <v>2.17</v>
      </c>
      <c r="E153" s="17"/>
      <c r="I153" s="10"/>
    </row>
    <row r="154" spans="1:11" x14ac:dyDescent="0.2">
      <c r="A154" s="10">
        <v>23275</v>
      </c>
      <c r="B154" s="11">
        <v>42903</v>
      </c>
      <c r="C154" s="12">
        <v>7.58</v>
      </c>
      <c r="D154" s="12">
        <v>0.57999999999999996</v>
      </c>
      <c r="E154" s="17"/>
      <c r="I154" s="10"/>
    </row>
    <row r="155" spans="1:11" x14ac:dyDescent="0.2">
      <c r="A155" s="10">
        <v>23276</v>
      </c>
      <c r="B155" s="11">
        <v>42903</v>
      </c>
      <c r="C155" s="12">
        <v>62</v>
      </c>
      <c r="D155" s="12">
        <v>4.7300000000000004</v>
      </c>
      <c r="E155" s="15" t="s">
        <v>11</v>
      </c>
      <c r="I155" s="10"/>
    </row>
    <row r="156" spans="1:11" x14ac:dyDescent="0.2">
      <c r="A156" s="10">
        <v>23277</v>
      </c>
      <c r="B156" s="11">
        <v>42903</v>
      </c>
      <c r="C156" s="12">
        <v>10.83</v>
      </c>
      <c r="D156" s="12">
        <v>0.83</v>
      </c>
      <c r="E156" s="15" t="s">
        <v>11</v>
      </c>
      <c r="I156" s="10"/>
    </row>
    <row r="157" spans="1:11" x14ac:dyDescent="0.2">
      <c r="A157" s="10">
        <v>23278</v>
      </c>
      <c r="B157" s="11">
        <v>42903</v>
      </c>
      <c r="C157" s="12">
        <v>21.599999999999998</v>
      </c>
      <c r="D157" s="12">
        <v>1.65</v>
      </c>
      <c r="E157" s="12"/>
      <c r="F157" s="12"/>
      <c r="G157" s="12"/>
      <c r="H157" s="191"/>
      <c r="I157" s="184"/>
      <c r="J157" s="184"/>
      <c r="K157" s="198"/>
    </row>
    <row r="158" spans="1:11" x14ac:dyDescent="0.2">
      <c r="A158" s="10">
        <v>23279</v>
      </c>
      <c r="B158" s="11">
        <v>42903</v>
      </c>
      <c r="C158" s="12">
        <v>128.82</v>
      </c>
      <c r="D158" s="12">
        <v>9.82</v>
      </c>
      <c r="E158" s="15" t="s">
        <v>533</v>
      </c>
      <c r="F158" s="10"/>
      <c r="G158" s="10"/>
      <c r="H158" s="188"/>
      <c r="I158" s="188"/>
      <c r="J158" s="184"/>
      <c r="K158" s="198"/>
    </row>
    <row r="159" spans="1:11" x14ac:dyDescent="0.2">
      <c r="A159" s="10">
        <v>23280</v>
      </c>
      <c r="B159" s="11">
        <v>42903</v>
      </c>
      <c r="C159" s="12">
        <v>13.4</v>
      </c>
      <c r="D159" s="12"/>
      <c r="E159" s="15" t="s">
        <v>60</v>
      </c>
      <c r="I159" s="188"/>
      <c r="J159" s="184"/>
      <c r="K159" s="198"/>
    </row>
    <row r="160" spans="1:11" x14ac:dyDescent="0.2">
      <c r="A160" s="10">
        <v>23281</v>
      </c>
      <c r="B160" s="11">
        <v>42903</v>
      </c>
      <c r="C160" s="12">
        <v>24</v>
      </c>
      <c r="D160" s="12">
        <v>0.93</v>
      </c>
      <c r="E160" s="15" t="s">
        <v>11</v>
      </c>
      <c r="I160" s="188"/>
      <c r="J160" s="184"/>
      <c r="K160" s="198"/>
    </row>
    <row r="161" spans="1:11" x14ac:dyDescent="0.2">
      <c r="A161" s="10">
        <v>23282</v>
      </c>
      <c r="B161" s="11">
        <v>42903</v>
      </c>
      <c r="C161" s="12">
        <v>70.36</v>
      </c>
      <c r="D161" s="12">
        <v>5.36</v>
      </c>
      <c r="E161" s="17"/>
      <c r="F161" s="261"/>
      <c r="G161" s="262"/>
      <c r="H161" s="12"/>
      <c r="I161" s="188"/>
      <c r="J161" s="184"/>
      <c r="K161" s="198"/>
    </row>
    <row r="162" spans="1:11" x14ac:dyDescent="0.2">
      <c r="A162" s="10">
        <v>23283</v>
      </c>
      <c r="B162" s="11">
        <v>42903</v>
      </c>
      <c r="C162" s="12">
        <v>65</v>
      </c>
      <c r="D162" s="12">
        <v>4.95</v>
      </c>
      <c r="E162" s="17"/>
      <c r="F162" s="261"/>
      <c r="G162" s="262"/>
      <c r="H162" s="12"/>
      <c r="I162" s="188"/>
      <c r="J162" s="184"/>
      <c r="K162" s="198"/>
    </row>
    <row r="163" spans="1:11" x14ac:dyDescent="0.2">
      <c r="A163" s="10">
        <v>23284</v>
      </c>
      <c r="B163" s="11">
        <v>42903</v>
      </c>
      <c r="C163" s="12">
        <v>5</v>
      </c>
      <c r="D163" s="12">
        <v>0.38</v>
      </c>
      <c r="E163" s="17"/>
      <c r="I163" s="188"/>
      <c r="J163" s="184"/>
      <c r="K163" s="198"/>
    </row>
    <row r="164" spans="1:11" x14ac:dyDescent="0.2">
      <c r="A164" s="10">
        <v>23285</v>
      </c>
      <c r="B164" s="11">
        <v>42903</v>
      </c>
      <c r="C164" s="12">
        <v>34.53</v>
      </c>
      <c r="D164" s="12">
        <v>2.63</v>
      </c>
      <c r="E164" s="17"/>
      <c r="F164" s="261"/>
      <c r="G164" s="262"/>
      <c r="H164" s="12"/>
      <c r="I164" s="188"/>
      <c r="J164" s="184"/>
      <c r="K164" s="198"/>
    </row>
    <row r="165" spans="1:11" x14ac:dyDescent="0.2">
      <c r="A165" s="10">
        <v>23286</v>
      </c>
      <c r="B165" s="11">
        <v>42903</v>
      </c>
      <c r="C165" s="12">
        <v>150.00000000000003</v>
      </c>
      <c r="D165" s="12">
        <v>11.43</v>
      </c>
      <c r="E165" s="17"/>
      <c r="I165" s="188"/>
      <c r="J165" s="184"/>
      <c r="K165" s="198"/>
    </row>
    <row r="166" spans="1:11" x14ac:dyDescent="0.2">
      <c r="A166" s="10">
        <v>23287</v>
      </c>
      <c r="B166" s="11">
        <v>42903</v>
      </c>
      <c r="C166" s="12">
        <v>119.08</v>
      </c>
      <c r="D166" s="12">
        <v>9.08</v>
      </c>
      <c r="E166" s="15" t="s">
        <v>533</v>
      </c>
      <c r="I166" s="188"/>
      <c r="J166" s="184"/>
      <c r="K166" s="198"/>
    </row>
    <row r="167" spans="1:11" x14ac:dyDescent="0.2">
      <c r="A167" s="10">
        <v>23288</v>
      </c>
      <c r="B167" s="11">
        <v>42903</v>
      </c>
      <c r="C167" s="12">
        <v>17.12</v>
      </c>
      <c r="D167" s="12"/>
      <c r="E167" s="13" t="s">
        <v>8</v>
      </c>
      <c r="F167" s="257">
        <f>+C150+C155+C156+C160</f>
        <v>376.12</v>
      </c>
      <c r="G167" s="258">
        <f>+F167*0.97831</f>
        <v>367.96195720000003</v>
      </c>
      <c r="H167" s="253" t="s">
        <v>1084</v>
      </c>
      <c r="I167" s="188"/>
      <c r="J167" s="184"/>
      <c r="K167" s="198"/>
    </row>
    <row r="168" spans="1:11" x14ac:dyDescent="0.2">
      <c r="A168" s="10">
        <v>23289</v>
      </c>
      <c r="B168" s="11">
        <v>42905</v>
      </c>
      <c r="C168" s="12">
        <v>377.25</v>
      </c>
      <c r="D168" s="12">
        <v>28.75</v>
      </c>
      <c r="E168" s="15" t="s">
        <v>11</v>
      </c>
      <c r="I168" s="188"/>
      <c r="J168" s="184"/>
      <c r="K168" s="198"/>
    </row>
    <row r="169" spans="1:11" x14ac:dyDescent="0.2">
      <c r="A169" s="10">
        <v>23290</v>
      </c>
      <c r="B169" s="11">
        <v>42905</v>
      </c>
      <c r="C169" s="12">
        <v>213.79</v>
      </c>
      <c r="D169" s="12">
        <v>16.29</v>
      </c>
      <c r="E169" s="15" t="s">
        <v>533</v>
      </c>
      <c r="I169" s="188"/>
      <c r="J169" s="184"/>
      <c r="K169" s="198"/>
    </row>
    <row r="170" spans="1:11" x14ac:dyDescent="0.2">
      <c r="A170" s="10">
        <v>23291</v>
      </c>
      <c r="B170" s="11">
        <v>42905</v>
      </c>
      <c r="C170" s="12">
        <v>90</v>
      </c>
      <c r="D170" s="12"/>
      <c r="E170" s="15" t="s">
        <v>21</v>
      </c>
      <c r="I170" s="188"/>
      <c r="J170" s="184"/>
      <c r="K170" s="198"/>
    </row>
    <row r="171" spans="1:11" x14ac:dyDescent="0.2">
      <c r="A171" s="10">
        <v>23292</v>
      </c>
      <c r="B171" s="11">
        <v>42905</v>
      </c>
      <c r="C171" s="12">
        <v>26</v>
      </c>
      <c r="D171" s="12">
        <v>1.98</v>
      </c>
      <c r="E171" s="15" t="s">
        <v>11</v>
      </c>
      <c r="F171" s="259"/>
      <c r="G171" s="260"/>
      <c r="H171" s="10"/>
      <c r="I171" s="188"/>
      <c r="J171" s="184"/>
      <c r="K171" s="198"/>
    </row>
    <row r="172" spans="1:11" x14ac:dyDescent="0.2">
      <c r="A172" s="10">
        <v>23293</v>
      </c>
      <c r="B172" s="11">
        <v>42905</v>
      </c>
      <c r="C172" s="12">
        <v>47.63</v>
      </c>
      <c r="D172" s="12">
        <v>3.63</v>
      </c>
      <c r="E172" s="15" t="s">
        <v>533</v>
      </c>
      <c r="F172" s="259"/>
      <c r="G172" s="260"/>
      <c r="H172" s="10"/>
      <c r="I172" s="188"/>
      <c r="J172" s="184"/>
      <c r="K172" s="198"/>
    </row>
    <row r="173" spans="1:11" x14ac:dyDescent="0.2">
      <c r="A173" s="10">
        <v>23294</v>
      </c>
      <c r="B173" s="11">
        <v>42905</v>
      </c>
      <c r="C173" s="12">
        <v>248.43</v>
      </c>
      <c r="D173" s="12">
        <v>18.93</v>
      </c>
      <c r="E173" s="15" t="s">
        <v>1085</v>
      </c>
      <c r="I173" s="188"/>
      <c r="J173" s="184"/>
      <c r="K173" s="198"/>
    </row>
    <row r="174" spans="1:11" x14ac:dyDescent="0.2">
      <c r="A174" s="10">
        <v>23295</v>
      </c>
      <c r="B174" s="11">
        <v>42905</v>
      </c>
      <c r="C174" s="12">
        <v>5</v>
      </c>
      <c r="D174" s="12">
        <v>0.38</v>
      </c>
      <c r="E174" s="17"/>
      <c r="I174" s="188"/>
      <c r="J174" s="184"/>
      <c r="K174" s="198"/>
    </row>
    <row r="175" spans="1:11" x14ac:dyDescent="0.2">
      <c r="A175" s="10">
        <v>23296</v>
      </c>
      <c r="B175" s="11">
        <v>42905</v>
      </c>
      <c r="C175" s="12">
        <v>192.69</v>
      </c>
      <c r="D175" s="12">
        <v>14.69</v>
      </c>
      <c r="E175" s="15" t="s">
        <v>11</v>
      </c>
      <c r="F175" s="259"/>
      <c r="G175" s="260"/>
      <c r="H175" s="10"/>
      <c r="I175" s="188"/>
      <c r="J175" s="184"/>
      <c r="K175" s="198"/>
    </row>
    <row r="176" spans="1:11" x14ac:dyDescent="0.2">
      <c r="A176" s="10">
        <v>23297</v>
      </c>
      <c r="B176" s="11">
        <v>42905</v>
      </c>
      <c r="C176" s="12">
        <v>28.15</v>
      </c>
      <c r="D176" s="12">
        <v>2.15</v>
      </c>
      <c r="E176" s="17"/>
      <c r="F176" s="261"/>
      <c r="G176" s="262"/>
      <c r="H176" s="12"/>
      <c r="I176" s="188"/>
      <c r="J176" s="184"/>
      <c r="K176" s="198"/>
    </row>
    <row r="177" spans="1:11" x14ac:dyDescent="0.2">
      <c r="A177" s="10">
        <v>23298</v>
      </c>
      <c r="B177" s="11">
        <v>42905</v>
      </c>
      <c r="C177" s="12">
        <v>74.69</v>
      </c>
      <c r="D177" s="12">
        <v>5.69</v>
      </c>
      <c r="E177" s="15" t="s">
        <v>533</v>
      </c>
      <c r="I177" s="188"/>
      <c r="J177" s="184"/>
      <c r="K177" s="198"/>
    </row>
    <row r="178" spans="1:11" x14ac:dyDescent="0.2">
      <c r="A178" s="10">
        <v>23299</v>
      </c>
      <c r="B178" s="11">
        <v>42905</v>
      </c>
      <c r="C178" s="12">
        <v>97.43</v>
      </c>
      <c r="D178" s="12">
        <v>7.43</v>
      </c>
      <c r="E178" s="13" t="s">
        <v>1086</v>
      </c>
      <c r="I178" s="188"/>
      <c r="J178" s="184"/>
      <c r="K178" s="198"/>
    </row>
    <row r="179" spans="1:11" x14ac:dyDescent="0.2">
      <c r="A179" s="10">
        <v>23300</v>
      </c>
      <c r="B179" s="11">
        <v>42905</v>
      </c>
      <c r="C179" s="12">
        <v>27.25</v>
      </c>
      <c r="D179" s="12"/>
      <c r="E179" s="13" t="s">
        <v>8</v>
      </c>
      <c r="F179" s="257">
        <f>+C168+1+C171+120+C175</f>
        <v>716.94</v>
      </c>
      <c r="G179" s="258">
        <f>+F179*0.97831</f>
        <v>701.38957140000002</v>
      </c>
      <c r="H179" s="253" t="s">
        <v>1087</v>
      </c>
      <c r="I179" s="188"/>
      <c r="J179" s="184"/>
      <c r="K179" s="198"/>
    </row>
    <row r="180" spans="1:11" x14ac:dyDescent="0.2">
      <c r="A180" s="10">
        <v>23301</v>
      </c>
      <c r="B180" s="11">
        <v>42906</v>
      </c>
      <c r="C180" s="12">
        <v>23.82</v>
      </c>
      <c r="D180" s="12">
        <v>1.82</v>
      </c>
      <c r="E180" s="15" t="s">
        <v>11</v>
      </c>
      <c r="F180" s="259"/>
      <c r="G180" s="260"/>
      <c r="H180" s="10"/>
      <c r="I180" s="188"/>
      <c r="J180" s="184"/>
      <c r="K180" s="198"/>
    </row>
    <row r="181" spans="1:11" x14ac:dyDescent="0.2">
      <c r="A181" s="10">
        <v>23302</v>
      </c>
      <c r="B181" s="11">
        <v>42906</v>
      </c>
      <c r="C181" s="12">
        <v>67.12</v>
      </c>
      <c r="D181" s="12">
        <v>5.12</v>
      </c>
      <c r="E181" s="15" t="s">
        <v>11</v>
      </c>
      <c r="F181" s="259"/>
      <c r="G181" s="260"/>
      <c r="H181" s="10"/>
      <c r="I181" s="188"/>
      <c r="J181" s="184"/>
      <c r="K181" s="198"/>
    </row>
    <row r="182" spans="1:11" x14ac:dyDescent="0.2">
      <c r="A182" s="10">
        <v>23303</v>
      </c>
      <c r="B182" s="11">
        <v>42906</v>
      </c>
      <c r="C182" s="12"/>
      <c r="D182" s="12"/>
      <c r="E182" s="15" t="s">
        <v>1088</v>
      </c>
      <c r="F182" s="259"/>
      <c r="G182" s="260"/>
      <c r="H182" s="10"/>
      <c r="I182" s="188"/>
      <c r="J182" s="184"/>
      <c r="K182" s="198"/>
    </row>
    <row r="183" spans="1:11" x14ac:dyDescent="0.2">
      <c r="A183" s="10">
        <v>23304</v>
      </c>
      <c r="B183" s="11">
        <v>42906</v>
      </c>
      <c r="C183" s="12">
        <v>125.9</v>
      </c>
      <c r="D183" s="12"/>
      <c r="E183" s="15" t="s">
        <v>60</v>
      </c>
      <c r="F183" s="259"/>
      <c r="G183" s="260"/>
      <c r="H183" s="10"/>
      <c r="I183" s="188"/>
      <c r="J183" s="184"/>
      <c r="K183" s="198"/>
    </row>
    <row r="184" spans="1:11" x14ac:dyDescent="0.2">
      <c r="A184" s="10">
        <v>23305</v>
      </c>
      <c r="B184" s="11">
        <v>42906</v>
      </c>
      <c r="C184" s="12">
        <v>21.65</v>
      </c>
      <c r="D184" s="12">
        <v>1.65</v>
      </c>
      <c r="E184" s="15" t="s">
        <v>11</v>
      </c>
      <c r="F184" s="259"/>
      <c r="G184" s="260"/>
      <c r="H184" s="10"/>
      <c r="I184" s="188"/>
      <c r="J184" s="184"/>
      <c r="K184" s="198"/>
    </row>
    <row r="185" spans="1:11" x14ac:dyDescent="0.2">
      <c r="A185" s="10">
        <v>23306</v>
      </c>
      <c r="B185" s="11">
        <v>42906</v>
      </c>
      <c r="C185" s="12">
        <v>545.58000000000004</v>
      </c>
      <c r="D185" s="12">
        <v>41.58</v>
      </c>
      <c r="E185" s="15" t="s">
        <v>11</v>
      </c>
      <c r="F185" s="259"/>
      <c r="G185" s="260"/>
      <c r="H185" s="10"/>
      <c r="I185" s="188"/>
      <c r="J185" s="184"/>
      <c r="K185" s="198"/>
    </row>
    <row r="186" spans="1:11" x14ac:dyDescent="0.2">
      <c r="A186" s="10">
        <v>23307</v>
      </c>
      <c r="B186" s="11">
        <v>42906</v>
      </c>
      <c r="C186" s="12">
        <v>8.49</v>
      </c>
      <c r="D186" s="12"/>
      <c r="E186" s="15" t="s">
        <v>477</v>
      </c>
      <c r="F186" s="259"/>
      <c r="G186" s="260"/>
      <c r="H186" s="10"/>
      <c r="I186" s="188"/>
      <c r="J186" s="184"/>
      <c r="K186" s="198"/>
    </row>
    <row r="187" spans="1:11" x14ac:dyDescent="0.2">
      <c r="A187" s="10">
        <v>23308</v>
      </c>
      <c r="B187" s="11">
        <v>42906</v>
      </c>
      <c r="C187" s="12">
        <v>97.97</v>
      </c>
      <c r="D187" s="12"/>
      <c r="E187" s="15" t="s">
        <v>1089</v>
      </c>
      <c r="F187" s="259"/>
      <c r="G187" s="260"/>
      <c r="H187" s="10"/>
      <c r="I187" s="188"/>
      <c r="J187" s="184"/>
      <c r="K187" s="198"/>
    </row>
    <row r="188" spans="1:11" x14ac:dyDescent="0.2">
      <c r="A188" s="10">
        <v>23309</v>
      </c>
      <c r="B188" s="11">
        <v>42906</v>
      </c>
      <c r="C188" s="12">
        <v>518.75</v>
      </c>
      <c r="D188" s="12"/>
      <c r="E188" s="15" t="s">
        <v>11</v>
      </c>
      <c r="F188" s="259"/>
      <c r="G188" s="260"/>
      <c r="H188" s="10"/>
      <c r="I188" s="188"/>
      <c r="J188" s="184"/>
      <c r="K188" s="198"/>
    </row>
    <row r="189" spans="1:11" x14ac:dyDescent="0.2">
      <c r="A189" s="10">
        <v>23310</v>
      </c>
      <c r="B189" s="11">
        <v>42906</v>
      </c>
      <c r="C189" s="12">
        <v>10</v>
      </c>
      <c r="D189" s="12">
        <v>0.76</v>
      </c>
      <c r="E189" s="15" t="s">
        <v>11</v>
      </c>
      <c r="F189" s="259"/>
      <c r="G189" s="260"/>
      <c r="H189" s="10"/>
      <c r="I189" s="188"/>
      <c r="J189" s="184"/>
      <c r="K189" s="198"/>
    </row>
    <row r="190" spans="1:11" x14ac:dyDescent="0.2">
      <c r="A190" s="10">
        <v>23311</v>
      </c>
      <c r="B190" s="11">
        <v>42906</v>
      </c>
      <c r="C190" s="12">
        <v>74.69</v>
      </c>
      <c r="D190" s="12">
        <v>5.69</v>
      </c>
      <c r="E190" s="15" t="s">
        <v>11</v>
      </c>
      <c r="I190" s="188"/>
      <c r="J190" s="184"/>
      <c r="K190" s="198"/>
    </row>
    <row r="191" spans="1:11" x14ac:dyDescent="0.2">
      <c r="A191" s="10">
        <v>23312</v>
      </c>
      <c r="B191" s="11">
        <v>42906</v>
      </c>
      <c r="C191" s="12">
        <v>357.16999999999996</v>
      </c>
      <c r="D191" s="12">
        <v>27.22</v>
      </c>
      <c r="E191" s="15" t="s">
        <v>7</v>
      </c>
      <c r="F191" s="259"/>
      <c r="G191" s="260"/>
      <c r="H191" s="10"/>
      <c r="I191" s="188"/>
      <c r="J191" s="184"/>
      <c r="K191" s="198"/>
    </row>
    <row r="192" spans="1:11" x14ac:dyDescent="0.2">
      <c r="A192" s="10">
        <v>23313</v>
      </c>
      <c r="B192" s="11">
        <v>42906</v>
      </c>
      <c r="C192" s="12">
        <v>46.01</v>
      </c>
      <c r="D192" s="12">
        <v>3.51</v>
      </c>
      <c r="E192" s="15" t="s">
        <v>1090</v>
      </c>
      <c r="I192" s="188"/>
      <c r="J192" s="184"/>
      <c r="K192" s="198"/>
    </row>
    <row r="193" spans="1:11" x14ac:dyDescent="0.2">
      <c r="A193" s="10">
        <v>23314</v>
      </c>
      <c r="B193" s="11">
        <v>42906</v>
      </c>
      <c r="C193" s="12">
        <v>31.39</v>
      </c>
      <c r="D193" s="12">
        <v>2.39</v>
      </c>
      <c r="E193" s="15" t="s">
        <v>21</v>
      </c>
      <c r="F193" s="257">
        <f>+C180+C181+C184+C185+C186+C188+C189+C190+C191</f>
        <v>1627.27</v>
      </c>
      <c r="G193" s="258">
        <f>+F193*0.97831</f>
        <v>1591.9745137</v>
      </c>
      <c r="H193" s="253"/>
      <c r="I193" s="188"/>
      <c r="J193" s="184"/>
      <c r="K193" s="198"/>
    </row>
    <row r="194" spans="1:11" x14ac:dyDescent="0.2">
      <c r="A194" s="10">
        <v>23315</v>
      </c>
      <c r="B194" s="11">
        <v>42907</v>
      </c>
      <c r="C194" s="12">
        <v>8.66</v>
      </c>
      <c r="D194" s="12">
        <v>0.66</v>
      </c>
      <c r="E194" s="15" t="s">
        <v>11</v>
      </c>
      <c r="I194" s="188"/>
      <c r="J194" s="184"/>
      <c r="K194" s="198"/>
    </row>
    <row r="195" spans="1:11" x14ac:dyDescent="0.2">
      <c r="A195" s="10">
        <v>23316</v>
      </c>
      <c r="B195" s="11">
        <v>42907</v>
      </c>
      <c r="C195" s="12">
        <v>216.84</v>
      </c>
      <c r="D195" s="12"/>
      <c r="E195" s="15" t="s">
        <v>60</v>
      </c>
      <c r="I195" s="188"/>
      <c r="J195" s="184"/>
      <c r="K195" s="198"/>
    </row>
    <row r="196" spans="1:11" x14ac:dyDescent="0.2">
      <c r="A196" s="10">
        <v>23317</v>
      </c>
      <c r="B196" s="11">
        <v>42907</v>
      </c>
      <c r="C196" s="12">
        <v>10</v>
      </c>
      <c r="D196" s="12">
        <v>0.76</v>
      </c>
      <c r="E196" s="17"/>
      <c r="F196" s="261"/>
      <c r="G196" s="262"/>
      <c r="H196" s="12"/>
      <c r="I196" s="188"/>
      <c r="J196" s="184"/>
      <c r="K196" s="198"/>
    </row>
    <row r="197" spans="1:11" x14ac:dyDescent="0.2">
      <c r="A197" s="10">
        <v>23318</v>
      </c>
      <c r="B197" s="11">
        <v>42907</v>
      </c>
      <c r="C197" s="12">
        <v>63.87</v>
      </c>
      <c r="D197" s="12">
        <v>4.87</v>
      </c>
      <c r="E197" s="17"/>
      <c r="I197" s="188"/>
      <c r="J197" s="184"/>
      <c r="K197" s="198"/>
    </row>
    <row r="198" spans="1:11" x14ac:dyDescent="0.2">
      <c r="A198" s="10">
        <v>23319</v>
      </c>
      <c r="B198" s="11">
        <v>42907</v>
      </c>
      <c r="C198" s="12">
        <v>5</v>
      </c>
      <c r="D198" s="12">
        <v>0.38</v>
      </c>
      <c r="E198" s="17"/>
      <c r="F198" s="261"/>
      <c r="G198" s="262"/>
      <c r="H198" s="12"/>
      <c r="I198" s="188"/>
      <c r="J198" s="184"/>
      <c r="K198" s="198"/>
    </row>
    <row r="199" spans="1:11" x14ac:dyDescent="0.2">
      <c r="A199" s="10">
        <v>23320</v>
      </c>
      <c r="B199" s="11">
        <v>42907</v>
      </c>
      <c r="C199" s="12">
        <v>214.34</v>
      </c>
      <c r="D199" s="12">
        <v>16.34</v>
      </c>
      <c r="E199" s="17"/>
      <c r="F199" s="261"/>
      <c r="G199" s="262"/>
      <c r="H199" s="12"/>
      <c r="I199" s="188"/>
      <c r="J199" s="184"/>
      <c r="K199" s="198"/>
    </row>
    <row r="200" spans="1:11" x14ac:dyDescent="0.2">
      <c r="A200" s="10">
        <v>23321</v>
      </c>
      <c r="B200" s="11">
        <v>42907</v>
      </c>
      <c r="C200" s="12">
        <v>147.22</v>
      </c>
      <c r="D200" s="12">
        <v>11.22</v>
      </c>
      <c r="E200" s="15" t="s">
        <v>11</v>
      </c>
      <c r="F200" s="259"/>
      <c r="G200" s="260"/>
      <c r="H200" s="10"/>
      <c r="I200" s="188"/>
      <c r="J200" s="184"/>
      <c r="K200" s="198"/>
    </row>
    <row r="201" spans="1:11" x14ac:dyDescent="0.2">
      <c r="A201" s="10">
        <v>23322</v>
      </c>
      <c r="B201" s="11">
        <v>42907</v>
      </c>
      <c r="C201" s="12">
        <v>1.5</v>
      </c>
      <c r="D201" s="12">
        <v>0.12</v>
      </c>
      <c r="E201" s="15" t="s">
        <v>11</v>
      </c>
      <c r="I201" s="188"/>
      <c r="J201" s="184"/>
      <c r="K201" s="198"/>
    </row>
    <row r="202" spans="1:11" x14ac:dyDescent="0.2">
      <c r="A202" s="10">
        <v>23323</v>
      </c>
      <c r="B202" s="11">
        <v>42907</v>
      </c>
      <c r="C202" s="12">
        <v>63.709999999999994</v>
      </c>
      <c r="D202" s="12">
        <v>4.8600000000000003</v>
      </c>
      <c r="E202" s="15" t="s">
        <v>11</v>
      </c>
      <c r="F202" s="259"/>
      <c r="G202" s="260"/>
      <c r="H202" s="10"/>
      <c r="I202" s="188"/>
      <c r="J202" s="184"/>
      <c r="K202" s="198"/>
    </row>
    <row r="203" spans="1:11" x14ac:dyDescent="0.2">
      <c r="A203" s="10">
        <v>23324</v>
      </c>
      <c r="B203" s="11">
        <v>42907</v>
      </c>
      <c r="C203" s="12">
        <v>123</v>
      </c>
      <c r="D203" s="12">
        <v>9.3699999999999992</v>
      </c>
      <c r="E203" s="13"/>
      <c r="F203" s="261"/>
      <c r="G203" s="262"/>
      <c r="H203" s="12"/>
      <c r="I203" s="188"/>
      <c r="J203" s="184"/>
      <c r="K203" s="198"/>
    </row>
    <row r="204" spans="1:11" x14ac:dyDescent="0.2">
      <c r="A204" s="10">
        <v>23325</v>
      </c>
      <c r="B204" s="11">
        <v>42907</v>
      </c>
      <c r="C204" s="12">
        <v>238.69</v>
      </c>
      <c r="D204" s="12">
        <v>18.190000000000001</v>
      </c>
      <c r="E204" s="15"/>
      <c r="I204" s="188"/>
      <c r="J204" s="184"/>
      <c r="K204" s="198"/>
    </row>
    <row r="205" spans="1:11" x14ac:dyDescent="0.2">
      <c r="A205" s="10">
        <v>23326</v>
      </c>
      <c r="B205" s="11">
        <v>42907</v>
      </c>
      <c r="C205" s="12">
        <v>11</v>
      </c>
      <c r="D205" s="12">
        <v>0.84</v>
      </c>
      <c r="E205" s="17"/>
      <c r="I205" s="188"/>
      <c r="J205" s="184"/>
      <c r="K205" s="198"/>
    </row>
    <row r="206" spans="1:11" x14ac:dyDescent="0.2">
      <c r="A206" s="10">
        <v>23327</v>
      </c>
      <c r="B206" s="11">
        <v>42907</v>
      </c>
      <c r="C206" s="12">
        <v>0</v>
      </c>
      <c r="D206" s="12">
        <v>0</v>
      </c>
      <c r="E206" s="15" t="s">
        <v>87</v>
      </c>
      <c r="F206" s="259"/>
      <c r="G206" s="260"/>
      <c r="H206" s="10"/>
      <c r="I206" s="188"/>
      <c r="J206" s="184"/>
      <c r="K206" s="198"/>
    </row>
    <row r="207" spans="1:11" x14ac:dyDescent="0.2">
      <c r="A207" s="10">
        <v>23328</v>
      </c>
      <c r="B207" s="11">
        <v>42907</v>
      </c>
      <c r="C207" s="12">
        <v>11.91</v>
      </c>
      <c r="D207" s="12">
        <v>0.91</v>
      </c>
      <c r="E207" s="17"/>
      <c r="F207" s="257">
        <f>+C192+C194+C200+C201+C202</f>
        <v>267.09999999999997</v>
      </c>
      <c r="G207" s="258">
        <f>+F207*0.97831</f>
        <v>261.30660099999994</v>
      </c>
      <c r="H207" s="253"/>
      <c r="I207" s="188"/>
      <c r="J207" s="184"/>
      <c r="K207" s="198"/>
    </row>
    <row r="208" spans="1:11" x14ac:dyDescent="0.2">
      <c r="A208" s="10">
        <v>23329</v>
      </c>
      <c r="B208" s="11">
        <v>42908</v>
      </c>
      <c r="C208" s="12">
        <v>422.18</v>
      </c>
      <c r="D208" s="12">
        <v>32.18</v>
      </c>
      <c r="E208" s="15" t="s">
        <v>1091</v>
      </c>
      <c r="I208" s="188"/>
      <c r="J208" s="184"/>
      <c r="K208" s="198"/>
    </row>
    <row r="209" spans="1:11" x14ac:dyDescent="0.2">
      <c r="A209" s="10">
        <v>23330</v>
      </c>
      <c r="B209" s="11">
        <v>42908</v>
      </c>
      <c r="C209" s="12">
        <v>0</v>
      </c>
      <c r="D209" s="12">
        <v>0</v>
      </c>
      <c r="E209" s="15" t="s">
        <v>87</v>
      </c>
      <c r="I209" s="188"/>
      <c r="J209" s="184"/>
      <c r="K209" s="198"/>
    </row>
    <row r="210" spans="1:11" x14ac:dyDescent="0.2">
      <c r="A210" s="10">
        <v>23331</v>
      </c>
      <c r="B210" s="11">
        <v>42908</v>
      </c>
      <c r="C210" s="12">
        <v>46.01</v>
      </c>
      <c r="D210" s="12">
        <v>3.51</v>
      </c>
      <c r="E210" s="15" t="s">
        <v>11</v>
      </c>
      <c r="I210" s="188"/>
      <c r="J210" s="184"/>
      <c r="K210" s="198"/>
    </row>
    <row r="211" spans="1:11" x14ac:dyDescent="0.2">
      <c r="A211" s="10">
        <v>23332</v>
      </c>
      <c r="B211" s="11">
        <v>42908</v>
      </c>
      <c r="C211" s="12">
        <v>5</v>
      </c>
      <c r="D211" s="12">
        <v>0.38</v>
      </c>
      <c r="E211" s="15" t="s">
        <v>11</v>
      </c>
      <c r="I211" s="188"/>
      <c r="J211" s="184"/>
      <c r="K211" s="198"/>
    </row>
    <row r="212" spans="1:11" x14ac:dyDescent="0.2">
      <c r="A212" s="10">
        <v>23333</v>
      </c>
      <c r="B212" s="11">
        <v>42908</v>
      </c>
      <c r="C212" s="12">
        <v>12.99</v>
      </c>
      <c r="D212" s="12">
        <v>0.99</v>
      </c>
      <c r="E212" s="15" t="s">
        <v>11</v>
      </c>
      <c r="F212" s="263">
        <v>0</v>
      </c>
      <c r="G212" s="263">
        <f>+F212*0.97831</f>
        <v>0</v>
      </c>
      <c r="H212" s="253" t="s">
        <v>1092</v>
      </c>
      <c r="I212" s="188"/>
      <c r="J212" s="184"/>
      <c r="K212" s="198"/>
    </row>
    <row r="213" spans="1:11" x14ac:dyDescent="0.2">
      <c r="A213" s="10">
        <v>23334</v>
      </c>
      <c r="B213" s="11">
        <v>42909</v>
      </c>
      <c r="C213" s="12">
        <v>85.77</v>
      </c>
      <c r="D213" s="12">
        <v>0.82</v>
      </c>
      <c r="E213" s="13" t="s">
        <v>1093</v>
      </c>
      <c r="I213" s="188"/>
      <c r="J213" s="184"/>
      <c r="K213" s="198"/>
    </row>
    <row r="214" spans="1:11" x14ac:dyDescent="0.2">
      <c r="A214" s="10">
        <v>23335</v>
      </c>
      <c r="B214" s="11">
        <v>42909</v>
      </c>
      <c r="C214" s="12">
        <v>10.72</v>
      </c>
      <c r="D214" s="12">
        <v>0.82</v>
      </c>
      <c r="E214" s="17"/>
      <c r="F214" s="261"/>
      <c r="G214" s="262"/>
      <c r="H214" s="12"/>
      <c r="I214" s="188"/>
      <c r="J214" s="184"/>
      <c r="K214" s="198"/>
    </row>
    <row r="215" spans="1:11" x14ac:dyDescent="0.2">
      <c r="A215" s="10">
        <v>23336</v>
      </c>
      <c r="B215" s="11">
        <v>42909</v>
      </c>
      <c r="C215" s="12">
        <v>193.77</v>
      </c>
      <c r="D215" s="12">
        <v>14.77</v>
      </c>
      <c r="E215" s="15" t="s">
        <v>7</v>
      </c>
      <c r="I215" s="188"/>
      <c r="J215" s="184"/>
      <c r="K215" s="198"/>
    </row>
    <row r="216" spans="1:11" x14ac:dyDescent="0.2">
      <c r="A216" s="10">
        <v>23337</v>
      </c>
      <c r="B216" s="11">
        <v>42909</v>
      </c>
      <c r="C216" s="12">
        <v>1659.9999999999998</v>
      </c>
      <c r="D216" s="12">
        <v>77.099999999999994</v>
      </c>
      <c r="E216" s="15"/>
      <c r="F216" s="259"/>
      <c r="G216" s="260"/>
      <c r="H216" s="10"/>
      <c r="I216" s="188"/>
      <c r="J216" s="184"/>
      <c r="K216" s="198"/>
    </row>
    <row r="217" spans="1:11" x14ac:dyDescent="0.2">
      <c r="A217" s="10">
        <v>23338</v>
      </c>
      <c r="B217" s="11">
        <v>42909</v>
      </c>
      <c r="C217" s="12">
        <v>21.65</v>
      </c>
      <c r="D217" s="12">
        <v>1.65</v>
      </c>
      <c r="E217" s="17"/>
      <c r="I217" s="188"/>
      <c r="J217" s="184"/>
      <c r="K217" s="198"/>
    </row>
    <row r="218" spans="1:11" x14ac:dyDescent="0.2">
      <c r="A218" s="10">
        <v>23339</v>
      </c>
      <c r="B218" s="11">
        <v>42909</v>
      </c>
      <c r="C218" s="12">
        <v>175</v>
      </c>
      <c r="D218" s="12">
        <v>13.34</v>
      </c>
      <c r="E218" s="15" t="s">
        <v>533</v>
      </c>
      <c r="I218" s="188"/>
      <c r="J218" s="184"/>
      <c r="K218" s="198"/>
    </row>
    <row r="219" spans="1:11" x14ac:dyDescent="0.2">
      <c r="A219" s="10">
        <v>23340</v>
      </c>
      <c r="B219" s="11">
        <v>42909</v>
      </c>
      <c r="C219" s="12">
        <v>24</v>
      </c>
      <c r="D219" s="12">
        <v>1.83</v>
      </c>
      <c r="E219" s="15" t="s">
        <v>533</v>
      </c>
      <c r="I219" s="188"/>
      <c r="J219" s="184"/>
      <c r="K219" s="198"/>
    </row>
    <row r="220" spans="1:11" x14ac:dyDescent="0.2">
      <c r="A220" s="10">
        <v>23341</v>
      </c>
      <c r="B220" s="11">
        <v>42909</v>
      </c>
      <c r="C220" s="12">
        <v>55</v>
      </c>
      <c r="D220" s="12">
        <v>4.1900000000000004</v>
      </c>
      <c r="E220" s="15" t="s">
        <v>32</v>
      </c>
      <c r="I220" s="188"/>
      <c r="J220" s="184"/>
      <c r="K220" s="198"/>
    </row>
    <row r="221" spans="1:11" x14ac:dyDescent="0.2">
      <c r="A221" s="10">
        <v>23342</v>
      </c>
      <c r="B221" s="11">
        <v>42909</v>
      </c>
      <c r="C221" s="12">
        <v>87.68</v>
      </c>
      <c r="D221" s="12">
        <v>6.68</v>
      </c>
      <c r="E221" s="15" t="s">
        <v>523</v>
      </c>
      <c r="F221" s="259"/>
      <c r="G221" s="260"/>
      <c r="H221" s="10"/>
      <c r="I221" s="188"/>
      <c r="J221" s="184"/>
      <c r="K221" s="198"/>
    </row>
    <row r="222" spans="1:11" x14ac:dyDescent="0.2">
      <c r="A222" s="10">
        <v>23343</v>
      </c>
      <c r="B222" s="11">
        <v>42909</v>
      </c>
      <c r="C222" s="12">
        <v>32.479999999999997</v>
      </c>
      <c r="D222" s="12">
        <v>2.48</v>
      </c>
      <c r="E222" s="15" t="s">
        <v>11</v>
      </c>
      <c r="I222" s="188"/>
      <c r="J222" s="184"/>
      <c r="K222" s="198"/>
    </row>
    <row r="223" spans="1:11" x14ac:dyDescent="0.2">
      <c r="A223" s="10">
        <v>23344</v>
      </c>
      <c r="B223" s="11">
        <v>42909</v>
      </c>
      <c r="C223" s="12">
        <v>300</v>
      </c>
      <c r="D223" s="12">
        <v>22.86</v>
      </c>
      <c r="E223" s="15"/>
      <c r="I223" s="188"/>
      <c r="J223" s="184"/>
      <c r="K223" s="198"/>
    </row>
    <row r="224" spans="1:11" x14ac:dyDescent="0.2">
      <c r="A224" s="10">
        <v>23345</v>
      </c>
      <c r="B224" s="11">
        <v>42909</v>
      </c>
      <c r="C224" s="12">
        <v>100</v>
      </c>
      <c r="D224" s="12">
        <v>1.52</v>
      </c>
      <c r="E224" s="13" t="s">
        <v>1094</v>
      </c>
      <c r="F224" s="257">
        <f>15.77+C215+C221+C222+84</f>
        <v>413.70000000000005</v>
      </c>
      <c r="G224" s="258">
        <f>+F224*0.97831</f>
        <v>404.72684700000008</v>
      </c>
      <c r="H224" s="253" t="s">
        <v>1095</v>
      </c>
      <c r="I224" s="188"/>
      <c r="J224" s="184"/>
      <c r="K224" s="198"/>
    </row>
    <row r="225" spans="1:12" x14ac:dyDescent="0.2">
      <c r="A225" s="10">
        <v>23346</v>
      </c>
      <c r="B225" s="11">
        <v>42910</v>
      </c>
      <c r="C225" s="12">
        <v>21.599999999999998</v>
      </c>
      <c r="D225" s="12">
        <v>1.65</v>
      </c>
      <c r="E225" s="15" t="s">
        <v>13</v>
      </c>
      <c r="I225" s="188"/>
      <c r="J225" s="184"/>
      <c r="K225" s="198"/>
    </row>
    <row r="226" spans="1:12" x14ac:dyDescent="0.2">
      <c r="A226" s="10">
        <v>23347</v>
      </c>
      <c r="B226" s="11">
        <v>42910</v>
      </c>
      <c r="C226" s="12">
        <v>16</v>
      </c>
      <c r="D226" s="12"/>
      <c r="E226" s="15" t="s">
        <v>10</v>
      </c>
      <c r="I226" s="188"/>
      <c r="J226" s="184"/>
      <c r="K226" s="198"/>
    </row>
    <row r="227" spans="1:12" x14ac:dyDescent="0.2">
      <c r="A227" s="10">
        <v>23348</v>
      </c>
      <c r="B227" s="11">
        <v>42910</v>
      </c>
      <c r="C227" s="12">
        <v>1.1400000000000008</v>
      </c>
      <c r="D227" s="12">
        <v>0.09</v>
      </c>
      <c r="E227" s="17"/>
      <c r="F227" s="12"/>
      <c r="G227" s="12"/>
      <c r="H227" s="191"/>
      <c r="I227" s="197">
        <f ca="1">H1-WEEKDAY(H1,3)-7</f>
        <v>43171</v>
      </c>
      <c r="J227" s="198" t="e">
        <f t="shared" ref="J227" ca="1" si="0">SUMIF(INDIRECT(TEXT(I227,"'mmm-yy'")&amp;"!B3:B400"),I227,INDIRECT(TEXT(I227,"'mmm-yy'")&amp;"!C3:C400"))</f>
        <v>#REF!</v>
      </c>
      <c r="K227" s="198"/>
      <c r="L227" s="184"/>
    </row>
    <row r="228" spans="1:12" x14ac:dyDescent="0.2">
      <c r="A228" s="10">
        <v>23349</v>
      </c>
      <c r="B228" s="11">
        <v>42910</v>
      </c>
      <c r="C228" s="12">
        <v>80</v>
      </c>
      <c r="D228" s="12">
        <v>6.09</v>
      </c>
      <c r="E228" s="23"/>
      <c r="F228" s="10"/>
      <c r="G228" s="10"/>
      <c r="H228" s="188"/>
      <c r="I228" s="188"/>
      <c r="J228" s="198"/>
      <c r="K228" s="198"/>
      <c r="L228" s="184"/>
    </row>
    <row r="229" spans="1:12" x14ac:dyDescent="0.2">
      <c r="A229" s="10">
        <v>23350</v>
      </c>
      <c r="B229" s="11">
        <v>42910</v>
      </c>
      <c r="C229" s="12">
        <v>139</v>
      </c>
      <c r="D229" s="12">
        <v>10.59</v>
      </c>
      <c r="E229" s="15" t="s">
        <v>11</v>
      </c>
      <c r="I229" s="188"/>
      <c r="J229" s="198"/>
      <c r="K229" s="198"/>
      <c r="L229" s="184"/>
    </row>
    <row r="230" spans="1:12" x14ac:dyDescent="0.2">
      <c r="A230" s="10">
        <v>23351</v>
      </c>
      <c r="B230" s="11">
        <v>42910</v>
      </c>
      <c r="C230" s="12">
        <v>99</v>
      </c>
      <c r="D230" s="12">
        <v>7.54</v>
      </c>
      <c r="E230" s="17"/>
      <c r="I230" s="188"/>
      <c r="J230" s="198"/>
      <c r="K230" s="198"/>
      <c r="L230" s="184"/>
    </row>
    <row r="231" spans="1:12" x14ac:dyDescent="0.2">
      <c r="A231" s="10">
        <v>23352</v>
      </c>
      <c r="B231" s="11">
        <v>42910</v>
      </c>
      <c r="C231" s="12">
        <v>4.33</v>
      </c>
      <c r="D231" s="12">
        <v>0.33</v>
      </c>
      <c r="E231" s="15" t="s">
        <v>11</v>
      </c>
      <c r="F231" s="259"/>
      <c r="G231" s="260"/>
      <c r="H231" s="10"/>
      <c r="I231" s="188"/>
      <c r="J231" s="198"/>
      <c r="K231" s="198"/>
      <c r="L231" s="184"/>
    </row>
    <row r="232" spans="1:12" x14ac:dyDescent="0.2">
      <c r="A232" s="10">
        <v>23353</v>
      </c>
      <c r="B232" s="11">
        <v>42910</v>
      </c>
      <c r="C232" s="12">
        <v>33.56</v>
      </c>
      <c r="D232" s="12">
        <v>2.56</v>
      </c>
      <c r="E232" s="15" t="s">
        <v>7</v>
      </c>
      <c r="F232" s="259"/>
      <c r="G232" s="260"/>
      <c r="H232" s="10"/>
      <c r="I232" s="188"/>
      <c r="J232" s="198"/>
      <c r="K232" s="198"/>
      <c r="L232" s="184"/>
    </row>
    <row r="233" spans="1:12" x14ac:dyDescent="0.2">
      <c r="A233" s="10">
        <v>23354</v>
      </c>
      <c r="B233" s="11">
        <v>42910</v>
      </c>
      <c r="C233" s="12">
        <v>10.83</v>
      </c>
      <c r="D233" s="12">
        <v>0.83</v>
      </c>
      <c r="E233" s="17"/>
      <c r="I233" s="188"/>
      <c r="J233" s="198"/>
      <c r="K233" s="198"/>
      <c r="L233" s="184"/>
    </row>
    <row r="234" spans="1:12" x14ac:dyDescent="0.2">
      <c r="A234" s="10">
        <v>23355</v>
      </c>
      <c r="B234" s="11">
        <v>42910</v>
      </c>
      <c r="C234" s="12">
        <v>74.69</v>
      </c>
      <c r="D234" s="12">
        <v>5.69</v>
      </c>
      <c r="E234" s="15" t="s">
        <v>7</v>
      </c>
      <c r="I234" s="188"/>
      <c r="J234" s="198"/>
      <c r="K234" s="198"/>
      <c r="L234" s="184"/>
    </row>
    <row r="235" spans="1:12" x14ac:dyDescent="0.2">
      <c r="A235" s="10">
        <v>23356</v>
      </c>
      <c r="B235" s="11">
        <v>42910</v>
      </c>
      <c r="C235" s="12">
        <v>64.95</v>
      </c>
      <c r="D235" s="12">
        <v>4.95</v>
      </c>
      <c r="E235" s="15" t="s">
        <v>11</v>
      </c>
      <c r="F235" s="259"/>
      <c r="G235" s="260"/>
      <c r="H235" s="10"/>
      <c r="I235" s="188"/>
      <c r="J235" s="198"/>
      <c r="K235" s="198"/>
      <c r="L235" s="184"/>
    </row>
    <row r="236" spans="1:12" x14ac:dyDescent="0.2">
      <c r="A236" s="10">
        <v>23357</v>
      </c>
      <c r="B236" s="11">
        <v>42910</v>
      </c>
      <c r="C236" s="12">
        <v>18.399999999999999</v>
      </c>
      <c r="D236" s="12">
        <v>1.4</v>
      </c>
      <c r="E236" s="15" t="s">
        <v>21</v>
      </c>
      <c r="F236" s="259"/>
      <c r="G236" s="260"/>
      <c r="H236" s="10"/>
      <c r="I236" s="188"/>
      <c r="J236" s="198"/>
      <c r="K236" s="198"/>
      <c r="L236" s="184"/>
    </row>
    <row r="237" spans="1:12" x14ac:dyDescent="0.2">
      <c r="A237" s="10">
        <v>23358</v>
      </c>
      <c r="B237" s="11">
        <v>42910</v>
      </c>
      <c r="C237" s="12">
        <v>91.960000000000008</v>
      </c>
      <c r="D237" s="12">
        <v>7.01</v>
      </c>
      <c r="E237" s="15" t="s">
        <v>533</v>
      </c>
      <c r="I237" s="188"/>
      <c r="J237" s="198"/>
      <c r="K237" s="198"/>
      <c r="L237" s="184"/>
    </row>
    <row r="238" spans="1:12" x14ac:dyDescent="0.2">
      <c r="A238" s="10">
        <v>23359</v>
      </c>
      <c r="B238" s="11">
        <v>42910</v>
      </c>
      <c r="C238" s="12">
        <v>11.309999999999999</v>
      </c>
      <c r="D238" s="12">
        <v>0.86</v>
      </c>
      <c r="E238" s="15" t="s">
        <v>7</v>
      </c>
      <c r="I238" s="188"/>
      <c r="J238" s="198"/>
      <c r="K238" s="198"/>
      <c r="L238" s="184"/>
    </row>
    <row r="239" spans="1:12" x14ac:dyDescent="0.2">
      <c r="A239" s="10">
        <v>23360</v>
      </c>
      <c r="B239" s="11">
        <v>42910</v>
      </c>
      <c r="C239" s="12">
        <v>122</v>
      </c>
      <c r="D239" s="12">
        <v>9.3000000000000007</v>
      </c>
      <c r="E239" s="15" t="s">
        <v>1096</v>
      </c>
      <c r="F239" s="259"/>
      <c r="G239" s="260"/>
      <c r="H239" s="10"/>
      <c r="I239" s="188"/>
      <c r="J239" s="198"/>
      <c r="K239" s="198"/>
      <c r="L239" s="184"/>
    </row>
    <row r="240" spans="1:12" x14ac:dyDescent="0.2">
      <c r="A240" s="10">
        <v>23361</v>
      </c>
      <c r="B240" s="11">
        <v>42910</v>
      </c>
      <c r="C240" s="12">
        <v>84</v>
      </c>
      <c r="D240" s="12"/>
      <c r="E240" s="15" t="s">
        <v>16</v>
      </c>
      <c r="F240" s="259"/>
      <c r="G240" s="260"/>
      <c r="H240" s="10"/>
      <c r="I240" s="188"/>
      <c r="J240" s="198"/>
      <c r="K240" s="198"/>
      <c r="L240" s="184"/>
    </row>
    <row r="241" spans="1:12" x14ac:dyDescent="0.2">
      <c r="A241" s="10">
        <v>23362</v>
      </c>
      <c r="B241" s="11">
        <v>42910</v>
      </c>
      <c r="C241" s="12">
        <v>74.959999999999994</v>
      </c>
      <c r="D241" s="12">
        <v>5.71</v>
      </c>
      <c r="E241" s="15" t="s">
        <v>1097</v>
      </c>
      <c r="F241" s="257">
        <f>+C225+C229+C231+C232+C234+C238+128.43</f>
        <v>412.92</v>
      </c>
      <c r="G241" s="258">
        <f>+F241*0.97831</f>
        <v>403.96376520000001</v>
      </c>
      <c r="H241" s="253" t="s">
        <v>1098</v>
      </c>
      <c r="I241" s="188"/>
      <c r="J241" s="198"/>
      <c r="K241" s="198"/>
      <c r="L241" s="184"/>
    </row>
    <row r="242" spans="1:12" x14ac:dyDescent="0.2">
      <c r="A242" s="10">
        <v>23363</v>
      </c>
      <c r="B242" s="11">
        <v>42912</v>
      </c>
      <c r="C242" s="12">
        <v>38.97</v>
      </c>
      <c r="D242" s="12">
        <v>2.97</v>
      </c>
      <c r="E242" s="15" t="s">
        <v>21</v>
      </c>
      <c r="F242" s="259"/>
      <c r="G242" s="260"/>
      <c r="H242" s="10"/>
      <c r="I242" s="188"/>
      <c r="J242" s="198"/>
      <c r="K242" s="198"/>
      <c r="L242" s="184"/>
    </row>
    <row r="243" spans="1:12" x14ac:dyDescent="0.2">
      <c r="A243" s="10">
        <v>23364</v>
      </c>
      <c r="B243" s="11">
        <v>42912</v>
      </c>
      <c r="C243" s="12">
        <v>2.8000000000000007</v>
      </c>
      <c r="D243" s="12"/>
      <c r="E243" s="15" t="s">
        <v>1099</v>
      </c>
      <c r="I243" s="188"/>
      <c r="J243" s="198"/>
      <c r="K243" s="198"/>
      <c r="L243" s="184"/>
    </row>
    <row r="244" spans="1:12" x14ac:dyDescent="0.2">
      <c r="A244" s="10">
        <v>23365</v>
      </c>
      <c r="B244" s="11">
        <v>42912</v>
      </c>
      <c r="C244" s="12">
        <v>128.82</v>
      </c>
      <c r="D244" s="12">
        <v>9.82</v>
      </c>
      <c r="E244" s="15" t="s">
        <v>11</v>
      </c>
      <c r="I244" s="188"/>
      <c r="J244" s="198"/>
      <c r="K244" s="198"/>
      <c r="L244" s="184"/>
    </row>
    <row r="245" spans="1:12" x14ac:dyDescent="0.2">
      <c r="A245" s="10">
        <v>23366</v>
      </c>
      <c r="B245" s="11">
        <v>42912</v>
      </c>
      <c r="C245" s="12">
        <v>433.65999999999997</v>
      </c>
      <c r="D245" s="12">
        <v>33.049999999999997</v>
      </c>
      <c r="E245" s="13" t="s">
        <v>1100</v>
      </c>
      <c r="I245" s="188"/>
      <c r="J245" s="198"/>
      <c r="K245" s="198"/>
      <c r="L245" s="184"/>
    </row>
    <row r="246" spans="1:12" x14ac:dyDescent="0.2">
      <c r="A246" s="10">
        <v>23367</v>
      </c>
      <c r="B246" s="11">
        <v>42912</v>
      </c>
      <c r="C246" s="12">
        <v>58.46</v>
      </c>
      <c r="D246" s="12">
        <v>4.46</v>
      </c>
      <c r="E246" s="15" t="s">
        <v>11</v>
      </c>
      <c r="I246" s="188"/>
      <c r="J246" s="198"/>
      <c r="K246" s="198"/>
      <c r="L246" s="184"/>
    </row>
    <row r="247" spans="1:12" x14ac:dyDescent="0.2">
      <c r="A247" s="10">
        <v>23368</v>
      </c>
      <c r="B247" s="11">
        <v>42912</v>
      </c>
      <c r="C247" s="12">
        <v>21.65</v>
      </c>
      <c r="D247" s="12">
        <v>1.65</v>
      </c>
      <c r="E247" s="17"/>
      <c r="F247" s="261"/>
      <c r="G247" s="262"/>
      <c r="H247" s="12"/>
      <c r="I247" s="188"/>
      <c r="J247" s="198"/>
      <c r="K247" s="198"/>
      <c r="L247" s="184"/>
    </row>
    <row r="248" spans="1:12" x14ac:dyDescent="0.2">
      <c r="A248" s="10">
        <v>23369</v>
      </c>
      <c r="B248" s="11">
        <v>42912</v>
      </c>
      <c r="C248" s="12">
        <v>23.82</v>
      </c>
      <c r="D248" s="12">
        <v>1.82</v>
      </c>
      <c r="E248" s="15" t="s">
        <v>11</v>
      </c>
      <c r="I248" s="188"/>
      <c r="J248" s="198"/>
      <c r="K248" s="198"/>
      <c r="L248" s="184"/>
    </row>
    <row r="249" spans="1:12" x14ac:dyDescent="0.2">
      <c r="A249" s="10">
        <v>23370</v>
      </c>
      <c r="B249" s="11">
        <v>42912</v>
      </c>
      <c r="C249" s="12">
        <v>34</v>
      </c>
      <c r="D249" s="12"/>
      <c r="E249" s="15" t="s">
        <v>26</v>
      </c>
      <c r="I249" s="188"/>
      <c r="J249" s="198"/>
      <c r="K249" s="198"/>
      <c r="L249" s="184"/>
    </row>
    <row r="250" spans="1:12" x14ac:dyDescent="0.2">
      <c r="A250" s="10">
        <v>23371</v>
      </c>
      <c r="B250" s="11">
        <v>42912</v>
      </c>
      <c r="C250" s="12">
        <v>31.23</v>
      </c>
      <c r="D250" s="12">
        <v>2.38</v>
      </c>
      <c r="E250" s="17"/>
      <c r="F250" s="257">
        <f>+C244+C246+C248+C235</f>
        <v>276.05</v>
      </c>
      <c r="G250" s="258">
        <f>+F250*0.97831</f>
        <v>270.06247550000001</v>
      </c>
      <c r="H250" s="253"/>
      <c r="I250" s="188"/>
      <c r="J250" s="198"/>
      <c r="K250" s="198"/>
      <c r="L250" s="184"/>
    </row>
    <row r="251" spans="1:12" x14ac:dyDescent="0.2">
      <c r="A251" s="10">
        <v>23372</v>
      </c>
      <c r="B251" s="11">
        <v>42913</v>
      </c>
      <c r="C251" s="12">
        <v>40</v>
      </c>
      <c r="D251" s="12">
        <v>3.05</v>
      </c>
      <c r="E251" s="15" t="s">
        <v>1101</v>
      </c>
      <c r="I251" s="188"/>
      <c r="J251" s="198"/>
      <c r="K251" s="198"/>
      <c r="L251" s="184"/>
    </row>
    <row r="252" spans="1:12" x14ac:dyDescent="0.2">
      <c r="A252" s="10">
        <v>23373</v>
      </c>
      <c r="B252" s="11">
        <v>42913</v>
      </c>
      <c r="C252" s="12">
        <v>270</v>
      </c>
      <c r="D252" s="12">
        <v>20.58</v>
      </c>
      <c r="E252" s="13" t="s">
        <v>1102</v>
      </c>
      <c r="I252" s="188"/>
      <c r="J252" s="198"/>
      <c r="K252" s="198"/>
      <c r="L252" s="184"/>
    </row>
    <row r="253" spans="1:12" x14ac:dyDescent="0.2">
      <c r="A253" s="10">
        <v>23374</v>
      </c>
      <c r="B253" s="11">
        <v>42913</v>
      </c>
      <c r="C253" s="12">
        <v>20</v>
      </c>
      <c r="D253" s="12"/>
      <c r="E253" s="15" t="s">
        <v>1099</v>
      </c>
      <c r="I253" s="188"/>
      <c r="J253" s="198"/>
      <c r="K253" s="198"/>
      <c r="L253" s="184"/>
    </row>
    <row r="254" spans="1:12" x14ac:dyDescent="0.2">
      <c r="A254" s="10">
        <v>23375</v>
      </c>
      <c r="B254" s="11">
        <v>42913</v>
      </c>
      <c r="C254" s="12">
        <v>59.54</v>
      </c>
      <c r="D254" s="12">
        <v>4.54</v>
      </c>
      <c r="E254" s="15" t="s">
        <v>7</v>
      </c>
      <c r="I254" s="188"/>
      <c r="J254" s="198"/>
      <c r="K254" s="198"/>
      <c r="L254" s="184"/>
    </row>
    <row r="255" spans="1:12" x14ac:dyDescent="0.2">
      <c r="A255" s="10">
        <v>23376</v>
      </c>
      <c r="B255" s="11">
        <v>42913</v>
      </c>
      <c r="C255" s="12">
        <v>52.5</v>
      </c>
      <c r="D255" s="12">
        <v>4</v>
      </c>
      <c r="E255" s="15" t="s">
        <v>11</v>
      </c>
      <c r="I255" s="188"/>
      <c r="J255" s="198"/>
      <c r="K255" s="198"/>
      <c r="L255" s="184"/>
    </row>
    <row r="256" spans="1:12" x14ac:dyDescent="0.2">
      <c r="A256" s="10">
        <v>23377</v>
      </c>
      <c r="B256" s="11">
        <v>42913</v>
      </c>
      <c r="C256" s="12">
        <v>123</v>
      </c>
      <c r="D256" s="12">
        <v>9.3699999999999992</v>
      </c>
      <c r="E256" s="23"/>
      <c r="F256" s="259"/>
      <c r="G256" s="260"/>
      <c r="H256" s="10"/>
      <c r="I256" s="188"/>
      <c r="J256" s="198"/>
      <c r="K256" s="198"/>
      <c r="L256" s="184"/>
    </row>
    <row r="257" spans="1:12" x14ac:dyDescent="0.2">
      <c r="A257" s="10">
        <v>23378</v>
      </c>
      <c r="B257" s="11">
        <v>42913</v>
      </c>
      <c r="C257" s="12">
        <v>319.33999999999997</v>
      </c>
      <c r="D257" s="12">
        <v>24.34</v>
      </c>
      <c r="E257" s="15" t="s">
        <v>1103</v>
      </c>
      <c r="I257" s="188"/>
      <c r="J257" s="198"/>
      <c r="K257" s="198"/>
      <c r="L257" s="184"/>
    </row>
    <row r="258" spans="1:12" x14ac:dyDescent="0.2">
      <c r="A258" s="10">
        <v>23379</v>
      </c>
      <c r="B258" s="11">
        <v>42913</v>
      </c>
      <c r="C258" s="12">
        <v>62.5</v>
      </c>
      <c r="D258" s="12"/>
      <c r="E258" s="13" t="s">
        <v>8</v>
      </c>
      <c r="F258" s="261"/>
      <c r="G258" s="262"/>
      <c r="H258" s="12"/>
      <c r="I258" s="188"/>
      <c r="J258" s="198"/>
      <c r="K258" s="198"/>
      <c r="L258" s="184"/>
    </row>
    <row r="259" spans="1:12" x14ac:dyDescent="0.2">
      <c r="A259" s="10">
        <v>23380</v>
      </c>
      <c r="B259" s="11">
        <v>42913</v>
      </c>
      <c r="C259" s="12">
        <v>10</v>
      </c>
      <c r="D259" s="12"/>
      <c r="E259" s="13" t="s">
        <v>8</v>
      </c>
      <c r="F259" s="257">
        <f>+C251+97.97+C254+C255</f>
        <v>250.01</v>
      </c>
      <c r="G259" s="258">
        <f>+F259*0.97831</f>
        <v>244.58728310000001</v>
      </c>
      <c r="H259" s="253" t="s">
        <v>1104</v>
      </c>
      <c r="I259" s="188"/>
      <c r="J259" s="198"/>
      <c r="K259" s="198"/>
      <c r="L259" s="184"/>
    </row>
    <row r="260" spans="1:12" x14ac:dyDescent="0.2">
      <c r="A260" s="10">
        <v>23381</v>
      </c>
      <c r="B260" s="11">
        <v>42914</v>
      </c>
      <c r="C260" s="12">
        <v>4.28</v>
      </c>
      <c r="D260" s="12">
        <v>0.33</v>
      </c>
      <c r="E260" s="17"/>
      <c r="F260" s="261"/>
      <c r="G260" s="262"/>
      <c r="H260" s="18"/>
      <c r="I260" s="188"/>
      <c r="J260" s="198"/>
      <c r="K260" s="198"/>
      <c r="L260" s="184"/>
    </row>
    <row r="261" spans="1:12" x14ac:dyDescent="0.2">
      <c r="A261" s="10">
        <v>23382</v>
      </c>
      <c r="B261" s="11">
        <v>42914</v>
      </c>
      <c r="C261" s="12">
        <v>136</v>
      </c>
      <c r="D261" s="12">
        <v>10.36</v>
      </c>
      <c r="E261" s="15" t="s">
        <v>7</v>
      </c>
      <c r="F261" s="259"/>
      <c r="G261" s="260"/>
      <c r="H261" s="21"/>
      <c r="I261" s="188"/>
      <c r="J261" s="198"/>
      <c r="K261" s="198"/>
      <c r="L261" s="184"/>
    </row>
    <row r="262" spans="1:12" x14ac:dyDescent="0.2">
      <c r="A262" s="10">
        <v>23383</v>
      </c>
      <c r="B262" s="11">
        <v>42914</v>
      </c>
      <c r="C262" s="12">
        <v>18.001974999999998</v>
      </c>
      <c r="D262" s="12">
        <v>1.3719749999999999</v>
      </c>
      <c r="E262" s="15" t="s">
        <v>11</v>
      </c>
      <c r="I262" s="188"/>
      <c r="J262" s="198"/>
      <c r="K262" s="198"/>
      <c r="L262" s="184"/>
    </row>
    <row r="263" spans="1:12" x14ac:dyDescent="0.2">
      <c r="A263" s="10">
        <v>23384</v>
      </c>
      <c r="B263" s="11">
        <v>42914</v>
      </c>
      <c r="C263" s="12">
        <v>151.5</v>
      </c>
      <c r="D263" s="12"/>
      <c r="E263" s="15" t="s">
        <v>60</v>
      </c>
      <c r="I263" s="188"/>
      <c r="J263" s="198"/>
      <c r="K263" s="198"/>
      <c r="L263" s="184"/>
    </row>
    <row r="264" spans="1:12" x14ac:dyDescent="0.2">
      <c r="A264" s="10">
        <v>23385</v>
      </c>
      <c r="B264" s="11">
        <v>42914</v>
      </c>
      <c r="C264" s="12">
        <v>319</v>
      </c>
      <c r="D264" s="12">
        <v>24.31</v>
      </c>
      <c r="E264" s="15"/>
      <c r="F264" s="259"/>
      <c r="G264" s="260"/>
      <c r="H264" s="10"/>
      <c r="I264" s="188"/>
      <c r="J264" s="198"/>
      <c r="K264" s="198"/>
      <c r="L264" s="184"/>
    </row>
    <row r="265" spans="1:12" x14ac:dyDescent="0.2">
      <c r="A265" s="10">
        <v>23386</v>
      </c>
      <c r="B265" s="11">
        <v>42914</v>
      </c>
      <c r="C265" s="12">
        <v>4</v>
      </c>
      <c r="D265" s="12"/>
      <c r="E265" s="15" t="s">
        <v>1099</v>
      </c>
      <c r="F265" s="259"/>
      <c r="G265" s="260"/>
      <c r="H265" s="10"/>
      <c r="I265" s="188"/>
      <c r="J265" s="198"/>
      <c r="K265" s="198"/>
      <c r="L265" s="184"/>
    </row>
    <row r="266" spans="1:12" x14ac:dyDescent="0.2">
      <c r="A266" s="10">
        <v>23387</v>
      </c>
      <c r="B266" s="11">
        <v>42914</v>
      </c>
      <c r="C266" s="12">
        <v>48</v>
      </c>
      <c r="D266" s="12">
        <v>3.66</v>
      </c>
      <c r="E266" s="15" t="s">
        <v>21</v>
      </c>
      <c r="I266" s="188"/>
      <c r="J266" s="198"/>
      <c r="K266" s="198"/>
      <c r="L266" s="184"/>
    </row>
    <row r="267" spans="1:12" x14ac:dyDescent="0.2">
      <c r="A267" s="10">
        <v>23388</v>
      </c>
      <c r="B267" s="11">
        <v>42914</v>
      </c>
      <c r="C267" s="12">
        <v>234</v>
      </c>
      <c r="D267" s="12">
        <v>17.829999999999998</v>
      </c>
      <c r="E267" s="15" t="s">
        <v>1105</v>
      </c>
      <c r="F267" s="259"/>
      <c r="G267" s="260"/>
      <c r="H267" s="10"/>
      <c r="I267" s="188"/>
      <c r="J267" s="198"/>
      <c r="K267" s="198"/>
      <c r="L267" s="184"/>
    </row>
    <row r="268" spans="1:12" x14ac:dyDescent="0.2">
      <c r="A268" s="10">
        <v>23389</v>
      </c>
      <c r="B268" s="11">
        <v>42914</v>
      </c>
      <c r="C268" s="12">
        <v>109.87</v>
      </c>
      <c r="D268" s="12">
        <v>8.3699999999999992</v>
      </c>
      <c r="E268" s="17"/>
      <c r="F268" s="261"/>
      <c r="G268" s="262"/>
      <c r="H268" s="12"/>
      <c r="I268" s="188"/>
      <c r="J268" s="198"/>
      <c r="K268" s="198"/>
      <c r="L268" s="184"/>
    </row>
    <row r="269" spans="1:12" x14ac:dyDescent="0.2">
      <c r="A269" s="10">
        <v>23390</v>
      </c>
      <c r="B269" s="11">
        <v>42914</v>
      </c>
      <c r="C269" s="12">
        <v>12.6</v>
      </c>
      <c r="D269" s="12"/>
      <c r="E269" s="13" t="s">
        <v>8</v>
      </c>
      <c r="I269" s="188"/>
      <c r="J269" s="198"/>
      <c r="K269" s="198"/>
      <c r="L269" s="184"/>
    </row>
    <row r="270" spans="1:12" x14ac:dyDescent="0.2">
      <c r="A270" s="10">
        <v>23391</v>
      </c>
      <c r="B270" s="11">
        <v>42914</v>
      </c>
      <c r="C270" s="12">
        <v>55</v>
      </c>
      <c r="D270" s="12">
        <v>4.1900000000000004</v>
      </c>
      <c r="E270" s="17"/>
      <c r="F270" s="257">
        <f>+C261+C262+100</f>
        <v>254.00197499999999</v>
      </c>
      <c r="G270" s="258">
        <f>+F270*0.97831</f>
        <v>248.49267216224999</v>
      </c>
      <c r="H270" s="253"/>
      <c r="I270" s="188"/>
      <c r="J270" s="198"/>
      <c r="K270" s="198"/>
      <c r="L270" s="184"/>
    </row>
    <row r="271" spans="1:12" x14ac:dyDescent="0.2">
      <c r="A271" s="10">
        <v>23392</v>
      </c>
      <c r="B271" s="11">
        <v>42915</v>
      </c>
      <c r="C271" s="12">
        <v>25.98</v>
      </c>
      <c r="D271" s="12">
        <v>1.98</v>
      </c>
      <c r="E271" s="15" t="s">
        <v>11</v>
      </c>
      <c r="I271" s="188"/>
      <c r="J271" s="198"/>
      <c r="K271" s="198"/>
      <c r="L271" s="184"/>
    </row>
    <row r="272" spans="1:12" x14ac:dyDescent="0.2">
      <c r="A272" s="10">
        <v>23393</v>
      </c>
      <c r="B272" s="11">
        <v>42915</v>
      </c>
      <c r="C272" s="12">
        <v>94.12</v>
      </c>
      <c r="D272" s="12">
        <v>7.17</v>
      </c>
      <c r="E272" s="15" t="s">
        <v>11</v>
      </c>
      <c r="F272" s="259"/>
      <c r="G272" s="260"/>
      <c r="H272" s="10"/>
      <c r="I272" s="188"/>
      <c r="J272" s="198"/>
      <c r="K272" s="198"/>
      <c r="L272" s="184"/>
    </row>
    <row r="273" spans="1:12" x14ac:dyDescent="0.2">
      <c r="A273" s="10">
        <v>23394</v>
      </c>
      <c r="B273" s="11">
        <v>42915</v>
      </c>
      <c r="C273" s="12">
        <v>7.58</v>
      </c>
      <c r="D273" s="12">
        <v>0.57999999999999996</v>
      </c>
      <c r="E273" s="17"/>
      <c r="I273" s="188"/>
      <c r="J273" s="198"/>
      <c r="K273" s="198"/>
      <c r="L273" s="184"/>
    </row>
    <row r="274" spans="1:12" x14ac:dyDescent="0.2">
      <c r="A274" s="10">
        <v>23395</v>
      </c>
      <c r="B274" s="11">
        <v>42915</v>
      </c>
      <c r="C274" s="12">
        <v>517.44000000000005</v>
      </c>
      <c r="D274" s="12">
        <v>39.44</v>
      </c>
      <c r="E274" s="15" t="s">
        <v>11</v>
      </c>
      <c r="I274" s="188"/>
      <c r="J274" s="198"/>
      <c r="K274" s="198"/>
      <c r="L274" s="184"/>
    </row>
    <row r="275" spans="1:12" x14ac:dyDescent="0.2">
      <c r="A275" s="10">
        <v>23396</v>
      </c>
      <c r="B275" s="11">
        <v>42915</v>
      </c>
      <c r="C275" s="12">
        <v>94.27</v>
      </c>
      <c r="D275" s="12">
        <v>6.27</v>
      </c>
      <c r="E275" s="15" t="s">
        <v>1106</v>
      </c>
      <c r="I275" s="188"/>
      <c r="J275" s="198"/>
      <c r="K275" s="198"/>
      <c r="L275" s="184"/>
    </row>
    <row r="276" spans="1:12" x14ac:dyDescent="0.2">
      <c r="A276" s="10">
        <v>23397</v>
      </c>
      <c r="B276" s="11">
        <v>42915</v>
      </c>
      <c r="C276" s="12">
        <v>-21.65</v>
      </c>
      <c r="D276" s="12">
        <v>-1.65</v>
      </c>
      <c r="E276" s="17"/>
      <c r="F276" s="261"/>
      <c r="G276" s="262"/>
      <c r="H276" s="12"/>
      <c r="I276" s="188"/>
      <c r="J276" s="198"/>
      <c r="K276" s="198"/>
      <c r="L276" s="184"/>
    </row>
    <row r="277" spans="1:12" x14ac:dyDescent="0.2">
      <c r="A277" s="10">
        <v>23398</v>
      </c>
      <c r="B277" s="11">
        <v>42915</v>
      </c>
      <c r="C277" s="12">
        <v>77.94</v>
      </c>
      <c r="D277" s="12">
        <v>5.94</v>
      </c>
      <c r="E277" s="15" t="s">
        <v>533</v>
      </c>
      <c r="I277" s="188"/>
      <c r="J277" s="198"/>
      <c r="K277" s="198"/>
      <c r="L277" s="184"/>
    </row>
    <row r="278" spans="1:12" x14ac:dyDescent="0.2">
      <c r="A278" s="10">
        <v>23399</v>
      </c>
      <c r="B278" s="11">
        <v>42915</v>
      </c>
      <c r="C278" s="12">
        <v>173.2</v>
      </c>
      <c r="D278" s="12">
        <v>13.2</v>
      </c>
      <c r="E278" s="15" t="s">
        <v>533</v>
      </c>
      <c r="I278" s="188"/>
      <c r="J278" s="198"/>
      <c r="K278" s="198"/>
      <c r="L278" s="184"/>
    </row>
    <row r="279" spans="1:12" x14ac:dyDescent="0.2">
      <c r="A279" s="10">
        <v>23400</v>
      </c>
      <c r="B279" s="11">
        <v>42915</v>
      </c>
      <c r="C279" s="12">
        <v>185.65</v>
      </c>
      <c r="D279" s="12">
        <v>14.15</v>
      </c>
      <c r="E279" s="15" t="s">
        <v>533</v>
      </c>
      <c r="I279" s="188"/>
      <c r="J279" s="198"/>
      <c r="K279" s="198"/>
      <c r="L279" s="184"/>
    </row>
    <row r="280" spans="1:12" x14ac:dyDescent="0.2">
      <c r="A280" s="10">
        <v>23401</v>
      </c>
      <c r="B280" s="11">
        <v>42915</v>
      </c>
      <c r="C280" s="12">
        <v>54.13</v>
      </c>
      <c r="D280" s="12">
        <v>4.13</v>
      </c>
      <c r="E280" s="15" t="s">
        <v>1107</v>
      </c>
      <c r="I280" s="188"/>
      <c r="J280" s="198"/>
      <c r="K280" s="198"/>
      <c r="L280" s="184"/>
    </row>
    <row r="281" spans="1:12" x14ac:dyDescent="0.2">
      <c r="A281" s="10">
        <v>23402</v>
      </c>
      <c r="B281" s="11">
        <v>42915</v>
      </c>
      <c r="C281" s="12">
        <v>172.12</v>
      </c>
      <c r="D281" s="12">
        <v>13.12</v>
      </c>
      <c r="E281" s="15" t="s">
        <v>533</v>
      </c>
      <c r="I281" s="188"/>
      <c r="J281" s="198"/>
      <c r="K281" s="198"/>
      <c r="L281" s="184"/>
    </row>
    <row r="282" spans="1:12" x14ac:dyDescent="0.2">
      <c r="A282" s="10">
        <v>23403</v>
      </c>
      <c r="B282" s="11">
        <v>42915</v>
      </c>
      <c r="C282" s="12">
        <v>150.47</v>
      </c>
      <c r="D282" s="12">
        <v>11.47</v>
      </c>
      <c r="E282" s="15" t="s">
        <v>533</v>
      </c>
      <c r="I282" s="188"/>
      <c r="J282" s="198"/>
      <c r="K282" s="198"/>
      <c r="L282" s="184"/>
    </row>
    <row r="283" spans="1:12" x14ac:dyDescent="0.2">
      <c r="A283" s="10">
        <v>23404</v>
      </c>
      <c r="B283" s="11">
        <v>42915</v>
      </c>
      <c r="C283" s="12">
        <v>270</v>
      </c>
      <c r="D283" s="12">
        <v>20.58</v>
      </c>
      <c r="E283" s="17"/>
      <c r="F283" s="257">
        <f>+C271+C272+C274+50</f>
        <v>687.54000000000008</v>
      </c>
      <c r="G283" s="258">
        <f>+F283*0.97831</f>
        <v>672.62725740000008</v>
      </c>
      <c r="H283" s="253" t="s">
        <v>1108</v>
      </c>
      <c r="I283" s="188"/>
      <c r="J283" s="198"/>
      <c r="K283" s="198"/>
      <c r="L283" s="184"/>
    </row>
    <row r="284" spans="1:12" x14ac:dyDescent="0.2">
      <c r="A284" s="10">
        <v>23405</v>
      </c>
      <c r="B284" s="11">
        <v>42916</v>
      </c>
      <c r="C284" s="12">
        <v>38.43</v>
      </c>
      <c r="D284" s="12">
        <v>2.93</v>
      </c>
      <c r="E284" s="17"/>
      <c r="F284" s="261"/>
      <c r="G284" s="262"/>
      <c r="H284" s="12"/>
      <c r="I284" s="188"/>
      <c r="J284" s="198"/>
      <c r="K284" s="198"/>
      <c r="L284" s="184"/>
    </row>
    <row r="285" spans="1:12" x14ac:dyDescent="0.2">
      <c r="A285" s="10">
        <v>23406</v>
      </c>
      <c r="B285" s="11">
        <v>42916</v>
      </c>
      <c r="C285" s="12">
        <v>12.99</v>
      </c>
      <c r="D285" s="12">
        <v>0.99</v>
      </c>
      <c r="E285" s="15" t="s">
        <v>11</v>
      </c>
      <c r="I285" s="188"/>
      <c r="J285" s="198"/>
      <c r="K285" s="198"/>
      <c r="L285" s="184"/>
    </row>
    <row r="286" spans="1:12" x14ac:dyDescent="0.2">
      <c r="A286" s="10">
        <v>23407</v>
      </c>
      <c r="B286" s="11">
        <v>42916</v>
      </c>
      <c r="C286" s="12">
        <v>85.52</v>
      </c>
      <c r="D286" s="12">
        <v>6.52</v>
      </c>
      <c r="E286" s="15" t="s">
        <v>26</v>
      </c>
      <c r="F286" s="259"/>
      <c r="G286" s="260"/>
      <c r="H286" s="10"/>
      <c r="I286" s="188"/>
      <c r="J286" s="198"/>
      <c r="K286" s="198"/>
      <c r="L286" s="184"/>
    </row>
    <row r="287" spans="1:12" x14ac:dyDescent="0.2">
      <c r="A287" s="10">
        <v>23408</v>
      </c>
      <c r="B287" s="11">
        <v>42916</v>
      </c>
      <c r="C287" s="12">
        <v>56.83</v>
      </c>
      <c r="D287" s="12">
        <v>4.33</v>
      </c>
      <c r="E287" s="15" t="s">
        <v>7</v>
      </c>
      <c r="F287" s="259"/>
      <c r="G287" s="260"/>
      <c r="H287" s="10"/>
      <c r="I287" s="188"/>
      <c r="J287" s="198"/>
      <c r="K287" s="198"/>
      <c r="L287" s="184"/>
    </row>
    <row r="288" spans="1:12" x14ac:dyDescent="0.2">
      <c r="A288" s="10">
        <v>23409</v>
      </c>
      <c r="B288" s="11">
        <v>42916</v>
      </c>
      <c r="C288" s="12">
        <v>15</v>
      </c>
      <c r="D288" s="12">
        <v>1.1399999999999999</v>
      </c>
      <c r="E288" s="17"/>
      <c r="I288" s="188"/>
      <c r="J288" s="198"/>
      <c r="K288" s="198"/>
      <c r="L288" s="184"/>
    </row>
    <row r="289" spans="1:12" x14ac:dyDescent="0.2">
      <c r="A289" s="10">
        <v>23410</v>
      </c>
      <c r="B289" s="11">
        <v>42916</v>
      </c>
      <c r="C289" s="12">
        <v>12</v>
      </c>
      <c r="D289" s="12"/>
      <c r="E289" s="13" t="s">
        <v>404</v>
      </c>
      <c r="F289" s="261"/>
      <c r="G289" s="262"/>
      <c r="H289" s="12"/>
      <c r="I289" s="188"/>
      <c r="J289" s="198"/>
      <c r="K289" s="198"/>
      <c r="L289" s="184"/>
    </row>
    <row r="290" spans="1:12" x14ac:dyDescent="0.2">
      <c r="A290" s="10">
        <v>23411</v>
      </c>
      <c r="B290" s="11">
        <v>42916</v>
      </c>
      <c r="C290" s="12">
        <v>744.49</v>
      </c>
      <c r="D290" s="12">
        <v>56.74</v>
      </c>
      <c r="E290" s="15" t="s">
        <v>26</v>
      </c>
      <c r="I290" s="188"/>
      <c r="J290" s="198"/>
      <c r="K290" s="198"/>
      <c r="L290" s="184"/>
    </row>
    <row r="291" spans="1:12" x14ac:dyDescent="0.2">
      <c r="A291" s="10">
        <v>23412</v>
      </c>
      <c r="B291" s="11">
        <v>42916</v>
      </c>
      <c r="C291" s="12">
        <v>7.58</v>
      </c>
      <c r="D291" s="12">
        <v>0.57999999999999996</v>
      </c>
      <c r="E291" s="15"/>
      <c r="F291" s="259"/>
      <c r="G291" s="260"/>
      <c r="H291" s="10"/>
      <c r="I291" s="188"/>
      <c r="J291" s="198"/>
      <c r="K291" s="198"/>
      <c r="L291" s="184"/>
    </row>
    <row r="292" spans="1:12" x14ac:dyDescent="0.2">
      <c r="A292" s="10">
        <v>23413</v>
      </c>
      <c r="B292" s="11">
        <v>42916</v>
      </c>
      <c r="C292" s="12">
        <v>175</v>
      </c>
      <c r="D292" s="12">
        <v>13.34</v>
      </c>
      <c r="E292" s="15" t="s">
        <v>11</v>
      </c>
      <c r="F292" s="259"/>
      <c r="G292" s="260"/>
      <c r="H292" s="10"/>
      <c r="I292" s="188"/>
      <c r="J292" s="198"/>
      <c r="K292" s="198"/>
      <c r="L292" s="184"/>
    </row>
    <row r="293" spans="1:12" x14ac:dyDescent="0.2">
      <c r="A293" s="10">
        <v>23414</v>
      </c>
      <c r="B293" s="11">
        <v>42916</v>
      </c>
      <c r="C293" s="12">
        <v>20</v>
      </c>
      <c r="D293" s="12">
        <v>1.52</v>
      </c>
      <c r="E293" s="17"/>
      <c r="F293" s="257">
        <f>+C285+C287+C292</f>
        <v>244.82</v>
      </c>
      <c r="G293" s="258">
        <f>+F293*0.97831</f>
        <v>239.50985420000001</v>
      </c>
      <c r="H293" s="253"/>
      <c r="I293" s="188"/>
      <c r="J293" s="198"/>
      <c r="K293" s="198"/>
      <c r="L293" s="184"/>
    </row>
    <row r="294" spans="1:12" x14ac:dyDescent="0.2">
      <c r="E294" s="26"/>
      <c r="H294" s="80"/>
      <c r="I294" s="80"/>
      <c r="J294" s="80"/>
      <c r="K294" s="80"/>
      <c r="L294" s="184"/>
    </row>
    <row r="295" spans="1:12" x14ac:dyDescent="0.2">
      <c r="E295" s="26"/>
      <c r="H295" s="208"/>
      <c r="I295" s="219"/>
      <c r="J295" s="220"/>
      <c r="K295" s="80"/>
      <c r="L295" s="184"/>
    </row>
    <row r="296" spans="1:12" x14ac:dyDescent="0.2">
      <c r="E296" s="26"/>
      <c r="H296" s="208"/>
      <c r="I296" s="219"/>
      <c r="J296" s="220"/>
      <c r="K296" s="80"/>
      <c r="L296" s="184"/>
    </row>
    <row r="297" spans="1:12" x14ac:dyDescent="0.2">
      <c r="E297" s="26"/>
      <c r="H297" s="207"/>
      <c r="I297" s="219"/>
      <c r="J297" s="220"/>
      <c r="K297" s="80"/>
      <c r="L297" s="184"/>
    </row>
    <row r="298" spans="1:12" x14ac:dyDescent="0.2">
      <c r="E298" s="26"/>
      <c r="H298" s="207"/>
      <c r="I298" s="219"/>
      <c r="J298" s="220"/>
      <c r="K298" s="80"/>
      <c r="L298" s="184"/>
    </row>
    <row r="299" spans="1:12" x14ac:dyDescent="0.2">
      <c r="E299" s="26"/>
      <c r="H299" s="208"/>
      <c r="I299" s="219"/>
      <c r="J299" s="220"/>
      <c r="K299" s="80"/>
      <c r="L299" s="184"/>
    </row>
    <row r="300" spans="1:12" x14ac:dyDescent="0.2">
      <c r="E300" s="26"/>
      <c r="H300" s="208"/>
      <c r="I300" s="219"/>
      <c r="J300" s="220"/>
      <c r="K300" s="220"/>
      <c r="L300" s="184"/>
    </row>
    <row r="301" spans="1:12" x14ac:dyDescent="0.2">
      <c r="E301" s="26"/>
      <c r="H301" s="207"/>
      <c r="I301" s="219"/>
      <c r="J301" s="220"/>
      <c r="K301" s="220"/>
      <c r="L301" s="184"/>
    </row>
    <row r="302" spans="1:12" x14ac:dyDescent="0.2">
      <c r="E302" s="26"/>
      <c r="H302" s="208"/>
      <c r="I302" s="219"/>
      <c r="J302" s="220"/>
      <c r="K302" s="220"/>
      <c r="L302" s="184"/>
    </row>
    <row r="303" spans="1:12" x14ac:dyDescent="0.2">
      <c r="E303" s="26"/>
      <c r="H303" s="208"/>
      <c r="I303" s="219"/>
      <c r="J303" s="220"/>
      <c r="K303" s="220"/>
      <c r="L303" s="184"/>
    </row>
    <row r="304" spans="1:12" x14ac:dyDescent="0.2">
      <c r="E304" s="26"/>
      <c r="H304" s="208"/>
      <c r="I304" s="219"/>
      <c r="J304" s="220"/>
      <c r="K304" s="220"/>
      <c r="L304" s="184"/>
    </row>
    <row r="305" spans="5:12" x14ac:dyDescent="0.2">
      <c r="E305" s="26"/>
      <c r="H305" s="208"/>
      <c r="I305" s="219"/>
      <c r="J305" s="220"/>
      <c r="K305" s="220"/>
      <c r="L305" s="184"/>
    </row>
    <row r="306" spans="5:12" x14ac:dyDescent="0.2">
      <c r="E306" s="26"/>
      <c r="H306" s="208"/>
      <c r="I306" s="219"/>
      <c r="J306" s="220"/>
      <c r="K306" s="220"/>
      <c r="L306" s="184"/>
    </row>
    <row r="307" spans="5:12" x14ac:dyDescent="0.2">
      <c r="E307" s="26"/>
      <c r="H307" s="208"/>
      <c r="I307" s="219"/>
      <c r="J307" s="220"/>
      <c r="K307" s="220"/>
      <c r="L307" s="184"/>
    </row>
    <row r="308" spans="5:12" x14ac:dyDescent="0.2">
      <c r="E308" s="26"/>
      <c r="H308" s="254"/>
      <c r="I308" s="80"/>
      <c r="J308" s="80"/>
      <c r="K308" s="80"/>
    </row>
    <row r="309" spans="5:12" x14ac:dyDescent="0.2">
      <c r="E309" s="26"/>
      <c r="H309" s="254"/>
      <c r="I309" s="80"/>
      <c r="J309" s="80"/>
      <c r="K309" s="80"/>
    </row>
    <row r="310" spans="5:12" x14ac:dyDescent="0.2">
      <c r="E310" s="26"/>
      <c r="H310" s="216"/>
      <c r="I310" s="217"/>
      <c r="J310" s="217"/>
      <c r="K310" s="217"/>
    </row>
    <row r="311" spans="5:12" x14ac:dyDescent="0.2">
      <c r="E311" s="26"/>
      <c r="H311" s="199"/>
      <c r="I311" s="184"/>
      <c r="J311" s="184"/>
      <c r="K311" s="184"/>
    </row>
    <row r="312" spans="5:12" x14ac:dyDescent="0.2">
      <c r="E312" s="26"/>
      <c r="H312" s="199"/>
      <c r="I312" s="184"/>
      <c r="J312" s="184"/>
      <c r="K312" s="184"/>
    </row>
    <row r="313" spans="5:12" x14ac:dyDescent="0.2">
      <c r="E313" s="26"/>
    </row>
    <row r="314" spans="5:12" x14ac:dyDescent="0.2">
      <c r="E314" s="26"/>
    </row>
    <row r="315" spans="5:12" x14ac:dyDescent="0.2">
      <c r="E315" s="26"/>
    </row>
    <row r="316" spans="5:12" x14ac:dyDescent="0.2">
      <c r="E316" s="26"/>
    </row>
    <row r="317" spans="5:12" x14ac:dyDescent="0.2">
      <c r="E317" s="26"/>
    </row>
    <row r="318" spans="5:12" x14ac:dyDescent="0.2">
      <c r="E318" s="26"/>
    </row>
    <row r="319" spans="5:12" x14ac:dyDescent="0.2">
      <c r="E319" s="26"/>
    </row>
    <row r="320" spans="5:12" x14ac:dyDescent="0.2">
      <c r="E320" s="26"/>
    </row>
    <row r="321" spans="1:10" x14ac:dyDescent="0.2">
      <c r="E321" s="26"/>
    </row>
    <row r="322" spans="1:10" x14ac:dyDescent="0.2">
      <c r="E322" s="26"/>
    </row>
    <row r="323" spans="1:10" x14ac:dyDescent="0.2">
      <c r="E323" s="26"/>
    </row>
    <row r="324" spans="1:10" x14ac:dyDescent="0.2">
      <c r="E324" s="26"/>
    </row>
    <row r="325" spans="1:10" x14ac:dyDescent="0.2">
      <c r="E325" s="26"/>
    </row>
    <row r="326" spans="1:10" x14ac:dyDescent="0.2">
      <c r="E326" s="26"/>
    </row>
    <row r="327" spans="1:10" s="29" customFormat="1" x14ac:dyDescent="0.2">
      <c r="A327" s="4"/>
      <c r="B327" s="11"/>
      <c r="C327" s="25"/>
      <c r="D327" s="4"/>
      <c r="E327" s="26"/>
      <c r="F327" s="4"/>
      <c r="G327" s="4"/>
      <c r="H327" s="25"/>
      <c r="I327" s="4"/>
      <c r="J327" s="4"/>
    </row>
    <row r="328" spans="1:10" s="29" customFormat="1" x14ac:dyDescent="0.2">
      <c r="A328" s="4"/>
      <c r="B328" s="11"/>
      <c r="C328" s="25"/>
      <c r="D328" s="4"/>
      <c r="E328" s="26"/>
      <c r="F328" s="4"/>
      <c r="G328" s="4"/>
      <c r="H328" s="25"/>
      <c r="I328" s="4"/>
      <c r="J328" s="4"/>
    </row>
    <row r="329" spans="1:10" x14ac:dyDescent="0.2">
      <c r="E329" s="26"/>
    </row>
    <row r="330" spans="1:10" x14ac:dyDescent="0.2">
      <c r="E330" s="26"/>
    </row>
    <row r="331" spans="1:10" x14ac:dyDescent="0.2">
      <c r="E331" s="26"/>
    </row>
    <row r="332" spans="1:10" x14ac:dyDescent="0.2">
      <c r="A332" s="29"/>
      <c r="B332" s="30"/>
      <c r="C332" s="31"/>
      <c r="D332" s="29"/>
      <c r="E332" s="32"/>
      <c r="F332" s="29"/>
      <c r="G332" s="29"/>
      <c r="H332" s="31"/>
      <c r="I332" s="29"/>
      <c r="J332" s="29"/>
    </row>
    <row r="333" spans="1:10" x14ac:dyDescent="0.2">
      <c r="A333" s="29"/>
      <c r="B333" s="30"/>
      <c r="C333" s="31"/>
      <c r="D333" s="29"/>
      <c r="E333" s="32"/>
      <c r="F333" s="29"/>
      <c r="G333" s="29"/>
      <c r="H333" s="31"/>
      <c r="I333" s="29"/>
      <c r="J333" s="29"/>
    </row>
    <row r="334" spans="1:10" x14ac:dyDescent="0.2">
      <c r="E334" s="26"/>
    </row>
    <row r="335" spans="1:10" x14ac:dyDescent="0.2">
      <c r="E335" s="26"/>
    </row>
    <row r="336" spans="1:10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  <row r="3289" spans="5:5" x14ac:dyDescent="0.2">
      <c r="E3289" s="26"/>
    </row>
    <row r="3290" spans="5:5" x14ac:dyDescent="0.2">
      <c r="E3290" s="26"/>
    </row>
    <row r="3291" spans="5:5" x14ac:dyDescent="0.2">
      <c r="E3291" s="26"/>
    </row>
    <row r="3292" spans="5:5" x14ac:dyDescent="0.2">
      <c r="E3292" s="26"/>
    </row>
    <row r="3293" spans="5:5" x14ac:dyDescent="0.2">
      <c r="E3293" s="26"/>
    </row>
    <row r="3294" spans="5:5" x14ac:dyDescent="0.2">
      <c r="E3294" s="26"/>
    </row>
    <row r="3295" spans="5:5" x14ac:dyDescent="0.2">
      <c r="E3295" s="26"/>
    </row>
    <row r="3296" spans="5:5" x14ac:dyDescent="0.2">
      <c r="E3296" s="26"/>
    </row>
    <row r="3297" spans="5:5" x14ac:dyDescent="0.2">
      <c r="E3297" s="26"/>
    </row>
    <row r="3298" spans="5:5" x14ac:dyDescent="0.2">
      <c r="E3298" s="26"/>
    </row>
    <row r="3299" spans="5:5" x14ac:dyDescent="0.2">
      <c r="E3299" s="26"/>
    </row>
    <row r="3300" spans="5:5" x14ac:dyDescent="0.2">
      <c r="E3300" s="26"/>
    </row>
    <row r="3301" spans="5:5" x14ac:dyDescent="0.2">
      <c r="E3301" s="26"/>
    </row>
    <row r="3302" spans="5:5" x14ac:dyDescent="0.2">
      <c r="E3302" s="26"/>
    </row>
    <row r="3303" spans="5:5" x14ac:dyDescent="0.2">
      <c r="E3303" s="26"/>
    </row>
    <row r="3304" spans="5:5" x14ac:dyDescent="0.2">
      <c r="E3304" s="26"/>
    </row>
    <row r="3305" spans="5:5" x14ac:dyDescent="0.2">
      <c r="E3305" s="26"/>
    </row>
    <row r="3306" spans="5:5" x14ac:dyDescent="0.2">
      <c r="E3306" s="26"/>
    </row>
    <row r="3307" spans="5:5" x14ac:dyDescent="0.2">
      <c r="E3307" s="26"/>
    </row>
    <row r="3308" spans="5:5" x14ac:dyDescent="0.2">
      <c r="E3308" s="2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3280"/>
  <sheetViews>
    <sheetView topLeftCell="A218" workbookViewId="0">
      <selection activeCell="A265" sqref="A265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28515625" style="4" customWidth="1"/>
    <col min="6" max="7" width="9.140625" style="4"/>
    <col min="8" max="8" width="9.140625" style="25"/>
    <col min="9" max="16384" width="9.140625" style="4"/>
  </cols>
  <sheetData>
    <row r="1" spans="1:11" x14ac:dyDescent="0.2">
      <c r="A1" s="1" t="s">
        <v>0</v>
      </c>
      <c r="B1" s="2"/>
      <c r="C1" s="3">
        <f>SUM(C3:C462)</f>
        <v>28195.080000000016</v>
      </c>
      <c r="D1" s="3">
        <f>SUM(D3:D462)</f>
        <v>2078.2800000000002</v>
      </c>
      <c r="F1" s="166">
        <f>SUM(F3:F5032)</f>
        <v>11151.699999999997</v>
      </c>
      <c r="G1" s="166">
        <f>SUM(G3:G5032)</f>
        <v>10909.819626999997</v>
      </c>
      <c r="H1" s="5">
        <f ca="1">TODAY()</f>
        <v>43182</v>
      </c>
      <c r="I1" s="5"/>
      <c r="J1" s="5"/>
    </row>
    <row r="2" spans="1:11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1" x14ac:dyDescent="0.2">
      <c r="A3" s="10">
        <v>23415</v>
      </c>
      <c r="B3" s="11">
        <v>42917</v>
      </c>
      <c r="C3" s="12">
        <v>20</v>
      </c>
      <c r="D3" s="12">
        <v>1.52</v>
      </c>
      <c r="E3" s="12"/>
      <c r="F3" s="12"/>
      <c r="G3" s="12"/>
      <c r="H3" s="12"/>
    </row>
    <row r="4" spans="1:11" x14ac:dyDescent="0.2">
      <c r="A4" s="10">
        <v>23416</v>
      </c>
      <c r="B4" s="11">
        <v>42917</v>
      </c>
      <c r="C4" s="12">
        <v>16.239999999999998</v>
      </c>
      <c r="D4" s="12">
        <v>1.24</v>
      </c>
      <c r="E4" s="15" t="s">
        <v>11</v>
      </c>
      <c r="F4" s="10"/>
      <c r="G4" s="10"/>
      <c r="H4" s="10"/>
      <c r="I4" s="10"/>
    </row>
    <row r="5" spans="1:11" x14ac:dyDescent="0.2">
      <c r="A5" s="10">
        <v>23417</v>
      </c>
      <c r="B5" s="11">
        <v>42917</v>
      </c>
      <c r="C5" s="12">
        <v>270</v>
      </c>
      <c r="D5" s="12">
        <v>20.58</v>
      </c>
      <c r="E5" s="17"/>
      <c r="F5" s="12"/>
      <c r="G5" s="12"/>
      <c r="H5" s="12"/>
      <c r="I5" s="10"/>
    </row>
    <row r="6" spans="1:11" x14ac:dyDescent="0.2">
      <c r="A6" s="10">
        <v>23418</v>
      </c>
      <c r="B6" s="11">
        <v>42917</v>
      </c>
      <c r="C6" s="12">
        <v>11.91</v>
      </c>
      <c r="D6" s="12">
        <v>0.91</v>
      </c>
      <c r="E6" s="15" t="s">
        <v>11</v>
      </c>
      <c r="F6" s="10"/>
      <c r="G6" s="10"/>
      <c r="H6" s="10"/>
      <c r="I6" s="10"/>
    </row>
    <row r="7" spans="1:11" x14ac:dyDescent="0.2">
      <c r="A7" s="10">
        <v>23419</v>
      </c>
      <c r="B7" s="11">
        <v>42917</v>
      </c>
      <c r="C7" s="12">
        <v>140.72999999999999</v>
      </c>
      <c r="D7" s="12">
        <v>10.73</v>
      </c>
      <c r="E7" s="17"/>
      <c r="F7" s="12"/>
      <c r="G7" s="12"/>
      <c r="H7" s="12"/>
      <c r="I7" s="10"/>
    </row>
    <row r="8" spans="1:11" x14ac:dyDescent="0.2">
      <c r="A8" s="10">
        <v>23420</v>
      </c>
      <c r="B8" s="11">
        <v>42917</v>
      </c>
      <c r="C8" s="12">
        <v>15</v>
      </c>
      <c r="D8" s="12">
        <v>1.1399999999999999</v>
      </c>
      <c r="E8" s="15" t="s">
        <v>7</v>
      </c>
      <c r="F8" s="10"/>
      <c r="G8" s="10"/>
      <c r="H8" s="10"/>
      <c r="I8" s="10"/>
    </row>
    <row r="9" spans="1:11" x14ac:dyDescent="0.2">
      <c r="A9" s="10">
        <v>23421</v>
      </c>
      <c r="B9" s="11">
        <v>42917</v>
      </c>
      <c r="C9" s="12">
        <v>37</v>
      </c>
      <c r="D9" s="12">
        <v>2.82</v>
      </c>
      <c r="E9" s="15" t="s">
        <v>11</v>
      </c>
      <c r="F9" s="18">
        <v>0</v>
      </c>
      <c r="G9" s="19">
        <f>+F9*0.97831</f>
        <v>0</v>
      </c>
      <c r="H9" s="253"/>
      <c r="I9" s="10"/>
    </row>
    <row r="10" spans="1:11" x14ac:dyDescent="0.2">
      <c r="A10" s="10">
        <v>23422</v>
      </c>
      <c r="B10" s="11">
        <v>42919</v>
      </c>
      <c r="C10" s="12">
        <v>107.17</v>
      </c>
      <c r="D10" s="12">
        <v>8.17</v>
      </c>
      <c r="E10" s="15" t="s">
        <v>11</v>
      </c>
      <c r="F10" s="257">
        <f>+C10+222.04+C4+C6+C8+C9</f>
        <v>409.36</v>
      </c>
      <c r="G10" s="258">
        <f>+F10*0.97831</f>
        <v>400.48098160000001</v>
      </c>
      <c r="H10" s="253" t="s">
        <v>1109</v>
      </c>
      <c r="I10" s="10"/>
    </row>
    <row r="11" spans="1:11" x14ac:dyDescent="0.2">
      <c r="A11" s="10">
        <v>23423</v>
      </c>
      <c r="B11" s="11">
        <v>42919</v>
      </c>
      <c r="C11" s="12">
        <v>8.66</v>
      </c>
      <c r="D11" s="12">
        <v>0.66</v>
      </c>
      <c r="E11" s="15" t="s">
        <v>11</v>
      </c>
      <c r="I11" s="10"/>
    </row>
    <row r="12" spans="1:11" x14ac:dyDescent="0.2">
      <c r="A12" s="10">
        <v>23424</v>
      </c>
      <c r="B12" s="11">
        <v>42919</v>
      </c>
      <c r="C12" s="12">
        <v>224.89</v>
      </c>
      <c r="D12" s="12">
        <v>17.14</v>
      </c>
      <c r="E12" s="17"/>
      <c r="I12" s="10"/>
    </row>
    <row r="13" spans="1:11" x14ac:dyDescent="0.2">
      <c r="A13" s="10">
        <v>23425</v>
      </c>
      <c r="B13" s="11">
        <v>42919</v>
      </c>
      <c r="C13" s="12">
        <v>29</v>
      </c>
      <c r="D13" s="12">
        <v>2.21</v>
      </c>
      <c r="E13" s="15" t="s">
        <v>11</v>
      </c>
      <c r="I13" s="10"/>
    </row>
    <row r="14" spans="1:11" x14ac:dyDescent="0.2">
      <c r="A14" s="10">
        <v>23426</v>
      </c>
      <c r="B14" s="11">
        <v>42919</v>
      </c>
      <c r="C14" s="12">
        <v>9.74</v>
      </c>
      <c r="D14" s="12">
        <v>0.74</v>
      </c>
      <c r="E14" s="15" t="s">
        <v>7</v>
      </c>
      <c r="I14" s="10"/>
      <c r="K14" s="198"/>
    </row>
    <row r="15" spans="1:11" x14ac:dyDescent="0.2">
      <c r="A15" s="10">
        <v>23427</v>
      </c>
      <c r="B15" s="11">
        <v>42919</v>
      </c>
      <c r="C15" s="12">
        <v>22.73</v>
      </c>
      <c r="D15" s="12">
        <v>1.73</v>
      </c>
      <c r="E15" s="15" t="s">
        <v>11</v>
      </c>
      <c r="F15" s="259"/>
      <c r="G15" s="260"/>
      <c r="H15" s="10"/>
      <c r="I15" s="10"/>
      <c r="K15" s="198"/>
    </row>
    <row r="16" spans="1:11" x14ac:dyDescent="0.2">
      <c r="A16" s="10">
        <v>23428</v>
      </c>
      <c r="B16" s="11">
        <v>42919</v>
      </c>
      <c r="C16" s="12">
        <v>146.13999999999999</v>
      </c>
      <c r="D16" s="12">
        <v>11.14</v>
      </c>
      <c r="E16" s="15" t="s">
        <v>21</v>
      </c>
      <c r="F16" s="259"/>
      <c r="G16" s="260"/>
      <c r="H16" s="10"/>
      <c r="I16" s="10"/>
      <c r="K16" s="198"/>
    </row>
    <row r="17" spans="1:11" x14ac:dyDescent="0.2">
      <c r="A17" s="10">
        <v>23429</v>
      </c>
      <c r="B17" s="11">
        <v>42919</v>
      </c>
      <c r="C17" s="12">
        <v>21.65</v>
      </c>
      <c r="D17" s="12">
        <v>1.65</v>
      </c>
      <c r="E17" s="13"/>
      <c r="F17" s="261"/>
      <c r="G17" s="262"/>
      <c r="H17" s="12"/>
      <c r="I17" s="10"/>
      <c r="K17" s="198"/>
    </row>
    <row r="18" spans="1:11" x14ac:dyDescent="0.2">
      <c r="A18" s="10">
        <v>23430</v>
      </c>
      <c r="B18" s="11">
        <v>42919</v>
      </c>
      <c r="C18" s="12">
        <v>23.82</v>
      </c>
      <c r="D18" s="12">
        <v>1.82</v>
      </c>
      <c r="E18" s="13"/>
      <c r="F18" s="261"/>
      <c r="G18" s="262"/>
      <c r="H18" s="12"/>
      <c r="I18" s="10"/>
      <c r="K18" s="198"/>
    </row>
    <row r="19" spans="1:11" x14ac:dyDescent="0.2">
      <c r="A19" s="10">
        <v>23431</v>
      </c>
      <c r="B19" s="11">
        <v>42919</v>
      </c>
      <c r="C19" s="12">
        <v>96.34</v>
      </c>
      <c r="D19" s="12">
        <v>7.34</v>
      </c>
      <c r="E19" s="15" t="s">
        <v>11</v>
      </c>
      <c r="F19" s="259"/>
      <c r="G19" s="260"/>
      <c r="H19" s="10"/>
      <c r="I19" s="10"/>
      <c r="K19" s="198"/>
    </row>
    <row r="20" spans="1:11" x14ac:dyDescent="0.2">
      <c r="A20" s="10">
        <v>23432</v>
      </c>
      <c r="B20" s="11">
        <v>42919</v>
      </c>
      <c r="C20" s="12">
        <v>318.26</v>
      </c>
      <c r="D20" s="12">
        <v>24.26</v>
      </c>
      <c r="E20" s="13" t="s">
        <v>1110</v>
      </c>
      <c r="F20" s="261"/>
      <c r="G20" s="262"/>
      <c r="H20" s="12"/>
      <c r="I20" s="10"/>
      <c r="K20" s="198"/>
    </row>
    <row r="21" spans="1:11" x14ac:dyDescent="0.2">
      <c r="A21" s="10">
        <v>23433</v>
      </c>
      <c r="B21" s="11">
        <v>42919</v>
      </c>
      <c r="C21" s="12">
        <v>8.66</v>
      </c>
      <c r="D21" s="12">
        <v>0.66</v>
      </c>
      <c r="E21" s="15" t="s">
        <v>7</v>
      </c>
      <c r="F21" s="259"/>
      <c r="G21" s="260"/>
      <c r="H21" s="10"/>
      <c r="I21" s="10"/>
      <c r="K21" s="198"/>
    </row>
    <row r="22" spans="1:11" x14ac:dyDescent="0.2">
      <c r="A22" s="10">
        <v>23434</v>
      </c>
      <c r="B22" s="11">
        <v>42919</v>
      </c>
      <c r="C22" s="12">
        <v>395</v>
      </c>
      <c r="D22" s="12">
        <v>30.1</v>
      </c>
      <c r="E22" s="17"/>
      <c r="I22" s="10"/>
      <c r="K22" s="198"/>
    </row>
    <row r="23" spans="1:11" x14ac:dyDescent="0.2">
      <c r="A23" s="10">
        <v>23435</v>
      </c>
      <c r="B23" s="11">
        <v>42919</v>
      </c>
      <c r="C23" s="12">
        <v>84.360000000000014</v>
      </c>
      <c r="D23" s="12">
        <v>6.43</v>
      </c>
      <c r="E23" s="15" t="s">
        <v>7</v>
      </c>
      <c r="I23" s="10"/>
      <c r="K23" s="198"/>
    </row>
    <row r="24" spans="1:11" x14ac:dyDescent="0.2">
      <c r="A24" s="10">
        <v>23436</v>
      </c>
      <c r="B24" s="11">
        <v>42919</v>
      </c>
      <c r="C24" s="12">
        <v>10</v>
      </c>
      <c r="D24" s="12">
        <v>0.76</v>
      </c>
      <c r="E24" s="17"/>
      <c r="F24" s="257">
        <f>+C11+C13+C14+C15+C19+C21+C23</f>
        <v>259.49</v>
      </c>
      <c r="G24" s="258">
        <f>+F24*0.97831</f>
        <v>253.8616619</v>
      </c>
      <c r="H24" s="253"/>
      <c r="I24" s="10"/>
      <c r="K24" s="198"/>
    </row>
    <row r="25" spans="1:11" x14ac:dyDescent="0.2">
      <c r="A25" s="10">
        <v>23437</v>
      </c>
      <c r="B25" s="11">
        <v>42921</v>
      </c>
      <c r="C25" s="12">
        <v>110.42</v>
      </c>
      <c r="D25" s="12">
        <v>8.42</v>
      </c>
      <c r="E25" s="15" t="s">
        <v>11</v>
      </c>
      <c r="I25" s="10"/>
      <c r="K25" s="198"/>
    </row>
    <row r="26" spans="1:11" x14ac:dyDescent="0.2">
      <c r="A26" s="10">
        <v>23438</v>
      </c>
      <c r="B26" s="11">
        <v>42921</v>
      </c>
      <c r="C26" s="12">
        <v>5</v>
      </c>
      <c r="D26" s="12">
        <v>0.38</v>
      </c>
      <c r="E26" s="17"/>
      <c r="F26" s="261"/>
      <c r="G26" s="262"/>
      <c r="H26" s="12"/>
      <c r="I26" s="10"/>
      <c r="K26" s="198"/>
    </row>
    <row r="27" spans="1:11" x14ac:dyDescent="0.2">
      <c r="A27" s="10">
        <v>23439</v>
      </c>
      <c r="B27" s="11">
        <v>42921</v>
      </c>
      <c r="C27" s="12">
        <v>33.989999999999995</v>
      </c>
      <c r="D27" s="12">
        <v>2.59</v>
      </c>
      <c r="E27" s="15" t="s">
        <v>11</v>
      </c>
      <c r="F27" s="259"/>
      <c r="G27" s="260"/>
      <c r="H27" s="10"/>
      <c r="I27" s="10"/>
      <c r="K27" s="198"/>
    </row>
    <row r="28" spans="1:11" x14ac:dyDescent="0.2">
      <c r="A28" s="10">
        <v>23440</v>
      </c>
      <c r="B28" s="11">
        <v>42921</v>
      </c>
      <c r="C28" s="12">
        <v>483.88</v>
      </c>
      <c r="D28" s="12">
        <v>36.880000000000003</v>
      </c>
      <c r="E28" s="15" t="s">
        <v>21</v>
      </c>
      <c r="I28" s="10"/>
      <c r="K28" s="198"/>
    </row>
    <row r="29" spans="1:11" x14ac:dyDescent="0.2">
      <c r="A29" s="10">
        <v>23441</v>
      </c>
      <c r="B29" s="11">
        <v>42921</v>
      </c>
      <c r="C29" s="12">
        <v>42.22</v>
      </c>
      <c r="D29" s="12">
        <v>3.22</v>
      </c>
      <c r="E29" s="15" t="s">
        <v>21</v>
      </c>
      <c r="F29" s="259"/>
      <c r="G29" s="260"/>
      <c r="H29" s="10"/>
      <c r="I29" s="10"/>
      <c r="K29" s="198"/>
    </row>
    <row r="30" spans="1:11" x14ac:dyDescent="0.2">
      <c r="A30" s="10">
        <v>23442</v>
      </c>
      <c r="B30" s="11">
        <v>42921</v>
      </c>
      <c r="C30" s="12">
        <v>166.71</v>
      </c>
      <c r="D30" s="12">
        <v>12.71</v>
      </c>
      <c r="E30" s="17"/>
      <c r="F30" s="261"/>
      <c r="G30" s="262"/>
      <c r="H30" s="12"/>
      <c r="I30" s="10"/>
      <c r="K30" s="198"/>
    </row>
    <row r="31" spans="1:11" x14ac:dyDescent="0.2">
      <c r="A31" s="10">
        <v>23443</v>
      </c>
      <c r="B31" s="11">
        <v>42921</v>
      </c>
      <c r="C31" s="12">
        <v>20</v>
      </c>
      <c r="D31" s="12">
        <v>1.52</v>
      </c>
      <c r="E31" s="17"/>
      <c r="I31" s="10"/>
      <c r="K31" s="198"/>
    </row>
    <row r="32" spans="1:11" x14ac:dyDescent="0.2">
      <c r="A32" s="10">
        <v>23444</v>
      </c>
      <c r="B32" s="11">
        <v>42921</v>
      </c>
      <c r="C32" s="12">
        <v>547.39</v>
      </c>
      <c r="D32" s="12">
        <v>41.72</v>
      </c>
      <c r="E32" s="17"/>
      <c r="F32" s="261"/>
      <c r="G32" s="262"/>
      <c r="H32" s="12"/>
      <c r="I32" s="10"/>
      <c r="K32" s="198"/>
    </row>
    <row r="33" spans="1:11" x14ac:dyDescent="0.2">
      <c r="A33" s="10">
        <v>23445</v>
      </c>
      <c r="B33" s="11">
        <v>42921</v>
      </c>
      <c r="C33" s="12">
        <v>95.26</v>
      </c>
      <c r="D33" s="12">
        <v>7.26</v>
      </c>
      <c r="E33" s="15" t="s">
        <v>11</v>
      </c>
      <c r="F33" s="257">
        <f>+C25+C27+C33</f>
        <v>239.67000000000002</v>
      </c>
      <c r="G33" s="258">
        <f>+F33*0.97831</f>
        <v>234.47155770000001</v>
      </c>
      <c r="H33" s="253"/>
      <c r="I33" s="10"/>
      <c r="K33" s="198"/>
    </row>
    <row r="34" spans="1:11" x14ac:dyDescent="0.2">
      <c r="A34" s="10">
        <v>23446</v>
      </c>
      <c r="B34" s="11">
        <v>42922</v>
      </c>
      <c r="C34" s="12">
        <v>8.61</v>
      </c>
      <c r="D34" s="12">
        <v>0.66</v>
      </c>
      <c r="E34" s="17"/>
      <c r="F34" s="261"/>
      <c r="G34" s="262"/>
      <c r="H34" s="12"/>
      <c r="I34" s="10"/>
      <c r="K34" s="198"/>
    </row>
    <row r="35" spans="1:11" x14ac:dyDescent="0.2">
      <c r="A35" s="10">
        <v>23447</v>
      </c>
      <c r="B35" s="11">
        <v>42922</v>
      </c>
      <c r="C35" s="12">
        <v>74.69</v>
      </c>
      <c r="D35" s="12">
        <v>5.69</v>
      </c>
      <c r="E35" s="23"/>
      <c r="F35" s="259"/>
      <c r="G35" s="260"/>
      <c r="H35" s="10"/>
      <c r="I35" s="10"/>
      <c r="K35" s="198"/>
    </row>
    <row r="36" spans="1:11" x14ac:dyDescent="0.2">
      <c r="A36" s="10">
        <v>23448</v>
      </c>
      <c r="B36" s="11">
        <v>42922</v>
      </c>
      <c r="C36" s="12">
        <v>17</v>
      </c>
      <c r="D36" s="12"/>
      <c r="E36" s="15" t="s">
        <v>10</v>
      </c>
      <c r="I36" s="10"/>
      <c r="K36" s="198"/>
    </row>
    <row r="37" spans="1:11" x14ac:dyDescent="0.2">
      <c r="A37" s="10">
        <v>23449</v>
      </c>
      <c r="B37" s="11">
        <v>42922</v>
      </c>
      <c r="C37" s="12">
        <v>139.99999999999997</v>
      </c>
      <c r="D37" s="12">
        <v>10.67</v>
      </c>
      <c r="E37" s="15" t="s">
        <v>11</v>
      </c>
      <c r="I37" s="10"/>
      <c r="K37" s="198"/>
    </row>
    <row r="38" spans="1:11" x14ac:dyDescent="0.2">
      <c r="A38" s="10">
        <v>23450</v>
      </c>
      <c r="B38" s="11">
        <v>42922</v>
      </c>
      <c r="C38" s="12">
        <v>7.58</v>
      </c>
      <c r="D38" s="12">
        <v>0.57999999999999996</v>
      </c>
      <c r="E38" s="17"/>
      <c r="I38" s="10"/>
      <c r="K38" s="198"/>
    </row>
    <row r="39" spans="1:11" x14ac:dyDescent="0.2">
      <c r="A39" s="10">
        <v>23451</v>
      </c>
      <c r="B39" s="11">
        <v>42922</v>
      </c>
      <c r="C39" s="12">
        <v>300</v>
      </c>
      <c r="D39" s="12">
        <v>22.86</v>
      </c>
      <c r="E39" s="15" t="s">
        <v>21</v>
      </c>
      <c r="I39" s="10"/>
      <c r="K39" s="198"/>
    </row>
    <row r="40" spans="1:11" x14ac:dyDescent="0.2">
      <c r="A40" s="10">
        <v>23452</v>
      </c>
      <c r="B40" s="11">
        <v>42922</v>
      </c>
      <c r="C40" s="12">
        <v>11.91</v>
      </c>
      <c r="D40" s="12">
        <v>0.91</v>
      </c>
      <c r="E40" s="15" t="s">
        <v>11</v>
      </c>
      <c r="I40" s="10"/>
      <c r="K40" s="198"/>
    </row>
    <row r="41" spans="1:11" x14ac:dyDescent="0.2">
      <c r="A41" s="10">
        <v>23453</v>
      </c>
      <c r="B41" s="11">
        <v>42922</v>
      </c>
      <c r="C41" s="12">
        <v>21.65</v>
      </c>
      <c r="D41" s="12">
        <v>1.65</v>
      </c>
      <c r="E41" s="17"/>
      <c r="F41" s="261"/>
      <c r="G41" s="262"/>
      <c r="H41" s="12"/>
      <c r="I41" s="10"/>
      <c r="K41" s="198"/>
    </row>
    <row r="42" spans="1:11" x14ac:dyDescent="0.2">
      <c r="A42" s="10">
        <v>23454</v>
      </c>
      <c r="B42" s="11">
        <v>42922</v>
      </c>
      <c r="C42" s="12">
        <v>10</v>
      </c>
      <c r="D42" s="12"/>
      <c r="E42" s="15" t="s">
        <v>894</v>
      </c>
      <c r="I42" s="10"/>
      <c r="K42" s="198"/>
    </row>
    <row r="43" spans="1:11" x14ac:dyDescent="0.2">
      <c r="A43" s="10">
        <v>23455</v>
      </c>
      <c r="B43" s="11">
        <v>42922</v>
      </c>
      <c r="C43" s="12">
        <v>58.430000000000007</v>
      </c>
      <c r="D43" s="12">
        <v>4.45</v>
      </c>
      <c r="E43" s="15" t="s">
        <v>1111</v>
      </c>
      <c r="I43" s="10"/>
      <c r="K43" s="198"/>
    </row>
    <row r="44" spans="1:11" x14ac:dyDescent="0.2">
      <c r="A44" s="10">
        <v>23456</v>
      </c>
      <c r="B44" s="11">
        <v>42922</v>
      </c>
      <c r="C44" s="12">
        <v>120</v>
      </c>
      <c r="D44" s="12">
        <v>9.15</v>
      </c>
      <c r="E44" s="17"/>
      <c r="F44" s="257">
        <f>+C37+C40+C42+10.39</f>
        <v>172.29999999999995</v>
      </c>
      <c r="G44" s="258">
        <f>+F44*0.97831</f>
        <v>168.56281299999995</v>
      </c>
      <c r="H44" s="253"/>
      <c r="I44" s="10"/>
      <c r="K44" s="198"/>
    </row>
    <row r="45" spans="1:11" x14ac:dyDescent="0.2">
      <c r="A45" s="10">
        <v>23457</v>
      </c>
      <c r="B45" s="11">
        <v>42923</v>
      </c>
      <c r="C45" s="12">
        <v>459.63</v>
      </c>
      <c r="D45" s="12">
        <v>35.03</v>
      </c>
      <c r="E45" s="15" t="s">
        <v>11</v>
      </c>
      <c r="F45" s="259"/>
      <c r="G45" s="260"/>
      <c r="H45" s="10"/>
      <c r="I45" s="10"/>
      <c r="K45" s="198"/>
    </row>
    <row r="46" spans="1:11" x14ac:dyDescent="0.2">
      <c r="A46" s="10">
        <v>23458</v>
      </c>
      <c r="B46" s="11">
        <v>42923</v>
      </c>
      <c r="C46" s="12">
        <v>11.91</v>
      </c>
      <c r="D46" s="12">
        <v>0.91</v>
      </c>
      <c r="E46" s="17"/>
      <c r="I46" s="10"/>
      <c r="K46" s="198"/>
    </row>
    <row r="47" spans="1:11" x14ac:dyDescent="0.2">
      <c r="A47" s="10">
        <v>23459</v>
      </c>
      <c r="B47" s="11">
        <v>42923</v>
      </c>
      <c r="C47" s="12">
        <v>34.64</v>
      </c>
      <c r="D47" s="12">
        <v>2.64</v>
      </c>
      <c r="E47" s="17"/>
      <c r="F47" s="261"/>
      <c r="G47" s="262"/>
      <c r="H47" s="12"/>
      <c r="I47" s="10"/>
      <c r="K47" s="198"/>
    </row>
    <row r="48" spans="1:11" x14ac:dyDescent="0.2">
      <c r="A48" s="10">
        <v>23460</v>
      </c>
      <c r="B48" s="11">
        <v>42923</v>
      </c>
      <c r="C48" s="12">
        <v>155.88</v>
      </c>
      <c r="D48" s="12">
        <v>11.88</v>
      </c>
      <c r="E48" s="17"/>
      <c r="F48" s="261"/>
      <c r="G48" s="262"/>
      <c r="H48" s="12"/>
      <c r="I48" s="10"/>
      <c r="K48" s="198"/>
    </row>
    <row r="49" spans="1:11" x14ac:dyDescent="0.2">
      <c r="A49" s="10">
        <v>23461</v>
      </c>
      <c r="B49" s="11">
        <v>42923</v>
      </c>
      <c r="C49" s="12">
        <v>21.43</v>
      </c>
      <c r="D49" s="12">
        <v>1.63</v>
      </c>
      <c r="E49" s="15"/>
      <c r="I49" s="10"/>
      <c r="K49" s="198"/>
    </row>
    <row r="50" spans="1:11" x14ac:dyDescent="0.2">
      <c r="A50" s="10">
        <v>23462</v>
      </c>
      <c r="B50" s="11">
        <v>42923</v>
      </c>
      <c r="C50" s="12">
        <v>11</v>
      </c>
      <c r="D50" s="12">
        <v>0.84</v>
      </c>
      <c r="E50" s="17"/>
      <c r="I50" s="10"/>
      <c r="K50" s="198"/>
    </row>
    <row r="51" spans="1:11" x14ac:dyDescent="0.2">
      <c r="A51" s="10">
        <v>23463</v>
      </c>
      <c r="B51" s="11">
        <v>42923</v>
      </c>
      <c r="C51" s="12">
        <v>96.34</v>
      </c>
      <c r="D51" s="12">
        <v>7.34</v>
      </c>
      <c r="E51" s="17"/>
      <c r="F51" s="261"/>
      <c r="G51" s="262"/>
      <c r="H51" s="12"/>
      <c r="I51" s="10"/>
      <c r="K51" s="198"/>
    </row>
    <row r="52" spans="1:11" x14ac:dyDescent="0.2">
      <c r="A52" s="10">
        <v>23464</v>
      </c>
      <c r="B52" s="11">
        <v>42923</v>
      </c>
      <c r="C52" s="12">
        <v>560.68000000000006</v>
      </c>
      <c r="D52" s="12">
        <v>42.73</v>
      </c>
      <c r="E52" s="15" t="s">
        <v>1112</v>
      </c>
      <c r="I52" s="10"/>
      <c r="K52" s="198"/>
    </row>
    <row r="53" spans="1:11" x14ac:dyDescent="0.2">
      <c r="A53" s="10">
        <v>23465</v>
      </c>
      <c r="B53" s="11">
        <v>42923</v>
      </c>
      <c r="C53" s="12">
        <v>461.15</v>
      </c>
      <c r="D53" s="12">
        <v>35.15</v>
      </c>
      <c r="E53" s="13" t="s">
        <v>1113</v>
      </c>
      <c r="F53" s="261"/>
      <c r="G53" s="262"/>
      <c r="H53" s="12"/>
      <c r="I53" s="10"/>
      <c r="K53" s="198"/>
    </row>
    <row r="54" spans="1:11" x14ac:dyDescent="0.2">
      <c r="A54" s="10">
        <v>23466</v>
      </c>
      <c r="B54" s="11">
        <v>42923</v>
      </c>
      <c r="C54" s="12">
        <v>25.98</v>
      </c>
      <c r="D54" s="12">
        <v>1.98</v>
      </c>
      <c r="E54" s="15" t="s">
        <v>11</v>
      </c>
      <c r="F54" s="257">
        <f>+C45+275+C54</f>
        <v>760.61</v>
      </c>
      <c r="G54" s="258">
        <f>+F54*0.97831</f>
        <v>744.11236910000002</v>
      </c>
      <c r="H54" s="253"/>
      <c r="I54" s="10"/>
      <c r="K54" s="198"/>
    </row>
    <row r="55" spans="1:11" x14ac:dyDescent="0.2">
      <c r="A55" s="10">
        <v>23467</v>
      </c>
      <c r="B55" s="11">
        <v>42924</v>
      </c>
      <c r="C55" s="12">
        <v>25.98</v>
      </c>
      <c r="D55" s="12">
        <v>1.98</v>
      </c>
      <c r="E55" s="17"/>
      <c r="I55" s="10"/>
      <c r="K55" s="198"/>
    </row>
    <row r="56" spans="1:11" x14ac:dyDescent="0.2">
      <c r="A56" s="10">
        <v>23468</v>
      </c>
      <c r="B56" s="11">
        <v>42924</v>
      </c>
      <c r="C56" s="12">
        <v>0</v>
      </c>
      <c r="D56" s="12"/>
      <c r="E56" s="15" t="s">
        <v>11</v>
      </c>
      <c r="I56" s="10"/>
      <c r="K56" s="198"/>
    </row>
    <row r="57" spans="1:11" x14ac:dyDescent="0.2">
      <c r="A57" s="10">
        <v>23469</v>
      </c>
      <c r="B57" s="11">
        <v>42924</v>
      </c>
      <c r="C57" s="12">
        <v>33.56</v>
      </c>
      <c r="D57" s="12">
        <v>2.56</v>
      </c>
      <c r="E57" s="15" t="s">
        <v>533</v>
      </c>
      <c r="I57" s="10"/>
      <c r="K57" s="198"/>
    </row>
    <row r="58" spans="1:11" x14ac:dyDescent="0.2">
      <c r="A58" s="10">
        <v>23470</v>
      </c>
      <c r="B58" s="11">
        <v>42924</v>
      </c>
      <c r="C58" s="12">
        <v>35.72</v>
      </c>
      <c r="D58" s="12">
        <v>2.72</v>
      </c>
      <c r="E58" s="15" t="s">
        <v>771</v>
      </c>
      <c r="I58" s="10"/>
      <c r="K58" s="198"/>
    </row>
    <row r="59" spans="1:11" x14ac:dyDescent="0.2">
      <c r="A59" s="10">
        <v>23471</v>
      </c>
      <c r="B59" s="11">
        <v>42924</v>
      </c>
      <c r="C59" s="12">
        <v>24.84</v>
      </c>
      <c r="D59" s="12">
        <v>1.89</v>
      </c>
      <c r="E59" s="17"/>
      <c r="F59" s="261"/>
      <c r="G59" s="262"/>
      <c r="H59" s="12"/>
      <c r="I59" s="10"/>
      <c r="K59" s="198"/>
    </row>
    <row r="60" spans="1:11" x14ac:dyDescent="0.2">
      <c r="A60" s="10">
        <v>23472</v>
      </c>
      <c r="B60" s="11">
        <v>42924</v>
      </c>
      <c r="C60" s="12">
        <v>155</v>
      </c>
      <c r="D60" s="12"/>
      <c r="E60" s="15" t="s">
        <v>71</v>
      </c>
      <c r="F60" s="259"/>
      <c r="G60" s="260"/>
      <c r="H60" s="10"/>
      <c r="I60" s="10"/>
      <c r="K60" s="198"/>
    </row>
    <row r="61" spans="1:11" x14ac:dyDescent="0.2">
      <c r="A61" s="10">
        <v>23473</v>
      </c>
      <c r="B61" s="11">
        <v>42924</v>
      </c>
      <c r="C61" s="12">
        <v>36</v>
      </c>
      <c r="D61" s="12">
        <v>1.82</v>
      </c>
      <c r="E61" s="15" t="s">
        <v>533</v>
      </c>
      <c r="F61" s="115"/>
      <c r="G61" s="115"/>
      <c r="I61" s="10"/>
      <c r="K61" s="198"/>
    </row>
    <row r="62" spans="1:11" x14ac:dyDescent="0.2">
      <c r="A62" s="10">
        <v>23474</v>
      </c>
      <c r="B62" s="11">
        <v>42924</v>
      </c>
      <c r="C62" s="12">
        <v>2</v>
      </c>
      <c r="D62" s="12">
        <v>0.15</v>
      </c>
      <c r="E62" s="17"/>
      <c r="F62" s="261"/>
      <c r="G62" s="262"/>
      <c r="H62" s="12"/>
      <c r="I62" s="10"/>
      <c r="K62" s="198"/>
    </row>
    <row r="63" spans="1:11" x14ac:dyDescent="0.2">
      <c r="A63" s="10">
        <v>23475</v>
      </c>
      <c r="B63" s="11">
        <v>42924</v>
      </c>
      <c r="C63" s="12">
        <v>31.18</v>
      </c>
      <c r="D63" s="12">
        <v>2.38</v>
      </c>
      <c r="E63" s="15" t="s">
        <v>533</v>
      </c>
      <c r="I63" s="10"/>
      <c r="K63" s="198"/>
    </row>
    <row r="64" spans="1:11" x14ac:dyDescent="0.2">
      <c r="A64" s="10">
        <v>23476</v>
      </c>
      <c r="B64" s="11">
        <v>42924</v>
      </c>
      <c r="C64" s="12">
        <v>166.71</v>
      </c>
      <c r="D64" s="12">
        <v>12.71</v>
      </c>
      <c r="E64" s="17"/>
      <c r="I64" s="10"/>
      <c r="K64" s="198"/>
    </row>
    <row r="65" spans="1:11" x14ac:dyDescent="0.2">
      <c r="A65" s="10">
        <v>23477</v>
      </c>
      <c r="B65" s="11">
        <v>42924</v>
      </c>
      <c r="C65" s="12">
        <v>80</v>
      </c>
      <c r="D65" s="12"/>
      <c r="E65" s="13" t="s">
        <v>1114</v>
      </c>
      <c r="F65" s="261"/>
      <c r="G65" s="262"/>
      <c r="H65" s="12"/>
      <c r="I65" s="10"/>
      <c r="K65" s="198"/>
    </row>
    <row r="66" spans="1:11" x14ac:dyDescent="0.2">
      <c r="A66" s="10">
        <v>23478</v>
      </c>
      <c r="B66" s="11">
        <v>42924</v>
      </c>
      <c r="C66" s="12">
        <v>49.5</v>
      </c>
      <c r="D66" s="12"/>
      <c r="E66" s="15" t="s">
        <v>1115</v>
      </c>
      <c r="F66" s="257">
        <v>30</v>
      </c>
      <c r="G66" s="258">
        <f>+F66*0.97831</f>
        <v>29.349299999999999</v>
      </c>
      <c r="H66" s="253" t="s">
        <v>1116</v>
      </c>
      <c r="I66" s="10"/>
      <c r="K66" s="198"/>
    </row>
    <row r="67" spans="1:11" x14ac:dyDescent="0.2">
      <c r="A67" s="10">
        <v>23479</v>
      </c>
      <c r="B67" s="11">
        <v>42926</v>
      </c>
      <c r="C67" s="12">
        <v>134.88</v>
      </c>
      <c r="D67" s="12">
        <v>10.130000000000001</v>
      </c>
      <c r="E67" s="15" t="s">
        <v>1117</v>
      </c>
      <c r="I67" s="10"/>
      <c r="K67" s="198"/>
    </row>
    <row r="68" spans="1:11" x14ac:dyDescent="0.2">
      <c r="A68" s="10">
        <v>23480</v>
      </c>
      <c r="B68" s="11">
        <v>42926</v>
      </c>
      <c r="C68" s="12">
        <v>107</v>
      </c>
      <c r="D68" s="12">
        <v>8.15</v>
      </c>
      <c r="E68" s="15" t="s">
        <v>11</v>
      </c>
      <c r="I68" s="10"/>
      <c r="K68" s="198"/>
    </row>
    <row r="69" spans="1:11" x14ac:dyDescent="0.2">
      <c r="A69" s="10">
        <v>23481</v>
      </c>
      <c r="B69" s="11">
        <v>42926</v>
      </c>
      <c r="C69" s="12">
        <v>84.44</v>
      </c>
      <c r="D69" s="12">
        <v>6.44</v>
      </c>
      <c r="E69" s="17"/>
      <c r="I69" s="10"/>
      <c r="K69" s="198"/>
    </row>
    <row r="70" spans="1:11" x14ac:dyDescent="0.2">
      <c r="A70" s="10">
        <v>23482</v>
      </c>
      <c r="B70" s="11">
        <v>42926</v>
      </c>
      <c r="C70" s="12">
        <v>62.79</v>
      </c>
      <c r="D70" s="12">
        <v>4.79</v>
      </c>
      <c r="E70" s="17"/>
      <c r="F70" s="261"/>
      <c r="G70" s="262"/>
      <c r="H70" s="12"/>
      <c r="I70" s="10"/>
      <c r="K70" s="198"/>
    </row>
    <row r="71" spans="1:11" x14ac:dyDescent="0.2">
      <c r="A71" s="10">
        <v>23483</v>
      </c>
      <c r="B71" s="11">
        <v>42926</v>
      </c>
      <c r="C71" s="12">
        <v>110.38999999999999</v>
      </c>
      <c r="D71" s="12">
        <v>8.41</v>
      </c>
      <c r="E71" s="15" t="s">
        <v>7</v>
      </c>
      <c r="I71" s="10"/>
      <c r="K71" s="198"/>
    </row>
    <row r="72" spans="1:11" x14ac:dyDescent="0.2">
      <c r="A72" s="10">
        <v>23484</v>
      </c>
      <c r="B72" s="11">
        <v>42926</v>
      </c>
      <c r="C72" s="12">
        <v>178.61</v>
      </c>
      <c r="D72" s="12">
        <v>13.61</v>
      </c>
      <c r="E72" s="15" t="s">
        <v>11</v>
      </c>
      <c r="F72" s="259"/>
      <c r="G72" s="260"/>
      <c r="H72" s="10"/>
      <c r="I72" s="10"/>
      <c r="K72" s="198"/>
    </row>
    <row r="73" spans="1:11" x14ac:dyDescent="0.2">
      <c r="A73" s="10">
        <v>23485</v>
      </c>
      <c r="B73" s="11">
        <v>42926</v>
      </c>
      <c r="C73" s="12">
        <v>10</v>
      </c>
      <c r="D73" s="12">
        <v>0.76</v>
      </c>
      <c r="E73" s="17"/>
      <c r="I73" s="10"/>
      <c r="K73" s="198"/>
    </row>
    <row r="74" spans="1:11" x14ac:dyDescent="0.2">
      <c r="A74" s="10">
        <v>23486</v>
      </c>
      <c r="B74" s="11">
        <v>42926</v>
      </c>
      <c r="C74" s="12">
        <v>25.2</v>
      </c>
      <c r="D74" s="12"/>
      <c r="E74" s="15" t="s">
        <v>17</v>
      </c>
      <c r="F74" s="259"/>
      <c r="G74" s="260"/>
      <c r="H74" s="10"/>
      <c r="I74" s="10"/>
      <c r="K74" s="198"/>
    </row>
    <row r="75" spans="1:11" x14ac:dyDescent="0.2">
      <c r="A75" s="10">
        <v>23487</v>
      </c>
      <c r="B75" s="11">
        <v>42926</v>
      </c>
      <c r="C75" s="12">
        <v>25.2</v>
      </c>
      <c r="D75" s="12"/>
      <c r="E75" s="15" t="s">
        <v>17</v>
      </c>
      <c r="F75" s="259"/>
      <c r="G75" s="260"/>
      <c r="H75" s="10"/>
      <c r="I75" s="10"/>
      <c r="K75" s="198"/>
    </row>
    <row r="76" spans="1:11" x14ac:dyDescent="0.2">
      <c r="A76" s="10">
        <v>23488</v>
      </c>
      <c r="B76" s="11">
        <v>42926</v>
      </c>
      <c r="C76" s="12">
        <v>25.2</v>
      </c>
      <c r="D76" s="12"/>
      <c r="E76" s="15" t="s">
        <v>17</v>
      </c>
      <c r="F76" s="259"/>
      <c r="G76" s="260"/>
      <c r="H76" s="10"/>
      <c r="I76" s="10"/>
      <c r="K76" s="198"/>
    </row>
    <row r="77" spans="1:11" x14ac:dyDescent="0.2">
      <c r="A77" s="10">
        <v>23489</v>
      </c>
      <c r="B77" s="11">
        <v>42926</v>
      </c>
      <c r="C77" s="12">
        <v>25.2</v>
      </c>
      <c r="D77" s="12"/>
      <c r="E77" s="15" t="s">
        <v>17</v>
      </c>
      <c r="I77" s="10"/>
      <c r="K77" s="198"/>
    </row>
    <row r="78" spans="1:11" x14ac:dyDescent="0.2">
      <c r="A78" s="10">
        <v>23490</v>
      </c>
      <c r="B78" s="11">
        <v>42926</v>
      </c>
      <c r="C78" s="12">
        <v>208.8</v>
      </c>
      <c r="D78" s="12"/>
      <c r="E78" s="15" t="s">
        <v>1118</v>
      </c>
      <c r="I78" s="10"/>
      <c r="K78" s="198"/>
    </row>
    <row r="79" spans="1:11" x14ac:dyDescent="0.2">
      <c r="A79" s="10">
        <v>23491</v>
      </c>
      <c r="B79" s="11">
        <v>42926</v>
      </c>
      <c r="C79" s="12">
        <v>0</v>
      </c>
      <c r="D79" s="12"/>
      <c r="E79" s="17"/>
      <c r="F79" s="261"/>
      <c r="G79" s="262"/>
      <c r="H79" s="12"/>
      <c r="I79" s="10"/>
      <c r="K79" s="198"/>
    </row>
    <row r="80" spans="1:11" x14ac:dyDescent="0.2">
      <c r="A80" s="10">
        <v>23492</v>
      </c>
      <c r="B80" s="11">
        <v>42926</v>
      </c>
      <c r="C80" s="12">
        <v>15</v>
      </c>
      <c r="D80" s="12"/>
      <c r="E80" s="15" t="s">
        <v>21</v>
      </c>
      <c r="F80" s="259"/>
      <c r="G80" s="260"/>
      <c r="H80" s="10"/>
      <c r="I80" s="10"/>
      <c r="K80" s="198"/>
    </row>
    <row r="81" spans="1:11" x14ac:dyDescent="0.2">
      <c r="A81" s="10">
        <v>23493</v>
      </c>
      <c r="B81" s="11">
        <v>42926</v>
      </c>
      <c r="C81" s="12">
        <v>161.29</v>
      </c>
      <c r="D81" s="12">
        <v>12.29</v>
      </c>
      <c r="E81" s="13" t="s">
        <v>1119</v>
      </c>
      <c r="I81" s="10"/>
      <c r="K81" s="198"/>
    </row>
    <row r="82" spans="1:11" x14ac:dyDescent="0.2">
      <c r="A82" s="10">
        <v>23494</v>
      </c>
      <c r="B82" s="11">
        <v>42926</v>
      </c>
      <c r="C82" s="12">
        <v>56</v>
      </c>
      <c r="D82" s="12">
        <v>4.2699999999999996</v>
      </c>
      <c r="E82" s="17"/>
      <c r="I82" s="10"/>
      <c r="K82" s="198"/>
    </row>
    <row r="83" spans="1:11" x14ac:dyDescent="0.2">
      <c r="A83" s="10">
        <v>23495</v>
      </c>
      <c r="B83" s="11">
        <v>42926</v>
      </c>
      <c r="C83" s="12">
        <v>92</v>
      </c>
      <c r="D83" s="12">
        <v>7.01</v>
      </c>
      <c r="E83" s="15" t="s">
        <v>21</v>
      </c>
      <c r="F83" s="257">
        <f>40+C71+C72+C74+C75+C76+C77</f>
        <v>429.79999999999995</v>
      </c>
      <c r="G83" s="258">
        <f>+F83*0.97831</f>
        <v>420.47763799999996</v>
      </c>
      <c r="H83" s="253"/>
      <c r="I83" s="10"/>
      <c r="K83" s="198"/>
    </row>
    <row r="84" spans="1:11" x14ac:dyDescent="0.2">
      <c r="A84" s="10">
        <v>23496</v>
      </c>
      <c r="B84" s="11">
        <v>42927</v>
      </c>
      <c r="C84" s="12">
        <v>25.2</v>
      </c>
      <c r="D84" s="12"/>
      <c r="E84" s="15" t="s">
        <v>11</v>
      </c>
      <c r="F84" s="259"/>
      <c r="G84" s="260"/>
      <c r="H84" s="10"/>
      <c r="I84" s="10"/>
      <c r="K84" s="198"/>
    </row>
    <row r="85" spans="1:11" x14ac:dyDescent="0.2">
      <c r="A85" s="10">
        <v>23497</v>
      </c>
      <c r="B85" s="11">
        <v>42927</v>
      </c>
      <c r="C85" s="12">
        <v>25.2</v>
      </c>
      <c r="D85" s="12"/>
      <c r="E85" s="15" t="s">
        <v>11</v>
      </c>
      <c r="F85" s="259"/>
      <c r="G85" s="260"/>
      <c r="H85" s="10"/>
      <c r="I85" s="10"/>
      <c r="K85" s="198"/>
    </row>
    <row r="86" spans="1:11" x14ac:dyDescent="0.2">
      <c r="A86" s="10">
        <v>23498</v>
      </c>
      <c r="B86" s="11">
        <v>42927</v>
      </c>
      <c r="C86" s="12">
        <v>25.2</v>
      </c>
      <c r="D86" s="12"/>
      <c r="E86" s="15" t="s">
        <v>11</v>
      </c>
      <c r="F86" s="259"/>
      <c r="G86" s="260"/>
      <c r="H86" s="10"/>
      <c r="I86" s="10"/>
      <c r="K86" s="198"/>
    </row>
    <row r="87" spans="1:11" x14ac:dyDescent="0.2">
      <c r="A87" s="10">
        <v>23499</v>
      </c>
      <c r="B87" s="11">
        <v>42927</v>
      </c>
      <c r="C87" s="12">
        <v>25.2</v>
      </c>
      <c r="D87" s="12"/>
      <c r="E87" s="15" t="s">
        <v>11</v>
      </c>
      <c r="I87" s="10"/>
      <c r="K87" s="198"/>
    </row>
    <row r="88" spans="1:11" x14ac:dyDescent="0.2">
      <c r="A88" s="10">
        <v>23500</v>
      </c>
      <c r="B88" s="11">
        <v>42927</v>
      </c>
      <c r="C88" s="12">
        <v>31.93</v>
      </c>
      <c r="D88" s="12">
        <v>2.4300000000000002</v>
      </c>
      <c r="E88" s="15" t="s">
        <v>11</v>
      </c>
      <c r="F88" s="259"/>
      <c r="G88" s="260"/>
      <c r="H88" s="10"/>
      <c r="I88" s="10"/>
      <c r="K88" s="198"/>
    </row>
    <row r="89" spans="1:11" x14ac:dyDescent="0.2">
      <c r="A89" s="10">
        <v>23501</v>
      </c>
      <c r="B89" s="11">
        <v>42927</v>
      </c>
      <c r="C89" s="12">
        <v>207.84</v>
      </c>
      <c r="D89" s="12">
        <v>15.84</v>
      </c>
      <c r="E89" s="13" t="s">
        <v>1120</v>
      </c>
      <c r="F89" s="261"/>
      <c r="G89" s="262"/>
      <c r="H89" s="12"/>
      <c r="I89" s="10"/>
      <c r="K89" s="198"/>
    </row>
    <row r="90" spans="1:11" x14ac:dyDescent="0.2">
      <c r="A90" s="10">
        <v>23502</v>
      </c>
      <c r="B90" s="11">
        <v>42927</v>
      </c>
      <c r="C90" s="12">
        <v>18.399999999999999</v>
      </c>
      <c r="D90" s="12">
        <v>1.4</v>
      </c>
      <c r="E90" s="15" t="s">
        <v>11</v>
      </c>
      <c r="I90" s="10"/>
      <c r="K90" s="198"/>
    </row>
    <row r="91" spans="1:11" x14ac:dyDescent="0.2">
      <c r="A91" s="10">
        <v>23503</v>
      </c>
      <c r="B91" s="11">
        <v>42927</v>
      </c>
      <c r="C91" s="12">
        <v>542</v>
      </c>
      <c r="D91" s="12">
        <v>41.31</v>
      </c>
      <c r="E91" s="13" t="s">
        <v>1121</v>
      </c>
      <c r="I91" s="10"/>
      <c r="K91" s="198"/>
    </row>
    <row r="92" spans="1:11" x14ac:dyDescent="0.2">
      <c r="A92" s="10">
        <v>23504</v>
      </c>
      <c r="B92" s="11">
        <v>42927</v>
      </c>
      <c r="C92" s="12">
        <v>44</v>
      </c>
      <c r="D92" s="12"/>
      <c r="E92" s="13" t="s">
        <v>8</v>
      </c>
      <c r="F92" s="261"/>
      <c r="G92" s="262"/>
      <c r="H92" s="12"/>
      <c r="I92" s="10"/>
      <c r="K92" s="198"/>
    </row>
    <row r="93" spans="1:11" x14ac:dyDescent="0.2">
      <c r="A93" s="10">
        <v>23505</v>
      </c>
      <c r="B93" s="11">
        <v>42927</v>
      </c>
      <c r="C93" s="12">
        <v>210</v>
      </c>
      <c r="D93" s="12">
        <v>16</v>
      </c>
      <c r="E93" s="13" t="s">
        <v>1122</v>
      </c>
      <c r="I93" s="10"/>
      <c r="K93" s="198"/>
    </row>
    <row r="94" spans="1:11" x14ac:dyDescent="0.2">
      <c r="A94" s="10">
        <v>23506</v>
      </c>
      <c r="B94" s="11">
        <v>42927</v>
      </c>
      <c r="C94" s="12">
        <v>226.24</v>
      </c>
      <c r="D94" s="12">
        <v>17.239999999999998</v>
      </c>
      <c r="E94" s="17"/>
      <c r="F94" s="257">
        <f>+C84+C85+C86+C87+C88+C90</f>
        <v>151.13</v>
      </c>
      <c r="G94" s="258">
        <f>+F94*0.97831</f>
        <v>147.85199030000001</v>
      </c>
      <c r="H94" s="253" t="s">
        <v>1123</v>
      </c>
      <c r="I94" s="10"/>
      <c r="K94" s="198"/>
    </row>
    <row r="95" spans="1:11" x14ac:dyDescent="0.2">
      <c r="A95" s="10">
        <v>23507</v>
      </c>
      <c r="B95" s="11">
        <v>42928</v>
      </c>
      <c r="C95" s="12">
        <v>294.48</v>
      </c>
      <c r="D95" s="12">
        <v>22.44</v>
      </c>
      <c r="E95" s="15" t="s">
        <v>523</v>
      </c>
      <c r="F95" s="259"/>
      <c r="G95" s="260"/>
      <c r="H95" s="10"/>
      <c r="I95" s="10"/>
      <c r="K95" s="198"/>
    </row>
    <row r="96" spans="1:11" x14ac:dyDescent="0.2">
      <c r="A96" s="10">
        <v>23508</v>
      </c>
      <c r="B96" s="11">
        <v>42928</v>
      </c>
      <c r="C96" s="12">
        <v>36.81</v>
      </c>
      <c r="D96" s="12">
        <v>2.81</v>
      </c>
      <c r="E96" s="15" t="s">
        <v>21</v>
      </c>
      <c r="I96" s="10"/>
      <c r="K96" s="198"/>
    </row>
    <row r="97" spans="1:11" x14ac:dyDescent="0.2">
      <c r="A97" s="10">
        <v>23509</v>
      </c>
      <c r="B97" s="11">
        <v>42928</v>
      </c>
      <c r="C97" s="12">
        <v>80</v>
      </c>
      <c r="D97" s="12">
        <v>6.1</v>
      </c>
      <c r="E97" s="13" t="s">
        <v>1124</v>
      </c>
      <c r="I97" s="10"/>
      <c r="K97" s="198"/>
    </row>
    <row r="98" spans="1:11" x14ac:dyDescent="0.2">
      <c r="A98" s="10">
        <v>23510</v>
      </c>
      <c r="B98" s="11">
        <v>42928</v>
      </c>
      <c r="C98" s="12">
        <v>147.76</v>
      </c>
      <c r="D98" s="12">
        <v>11.26</v>
      </c>
      <c r="E98" s="15" t="s">
        <v>11</v>
      </c>
      <c r="I98" s="10"/>
      <c r="K98" s="198"/>
    </row>
    <row r="99" spans="1:11" x14ac:dyDescent="0.2">
      <c r="A99" s="10">
        <v>23511</v>
      </c>
      <c r="B99" s="11">
        <v>42928</v>
      </c>
      <c r="C99" s="12">
        <v>48.71</v>
      </c>
      <c r="D99" s="12">
        <v>3.71</v>
      </c>
      <c r="E99" s="15" t="s">
        <v>7</v>
      </c>
      <c r="I99" s="10"/>
      <c r="K99" s="198"/>
    </row>
    <row r="100" spans="1:11" x14ac:dyDescent="0.2">
      <c r="A100" s="10">
        <v>23512</v>
      </c>
      <c r="B100" s="11">
        <v>42928</v>
      </c>
      <c r="C100" s="12">
        <v>378.88</v>
      </c>
      <c r="D100" s="12">
        <v>28.88</v>
      </c>
      <c r="E100" s="15" t="s">
        <v>533</v>
      </c>
      <c r="I100" s="10"/>
      <c r="K100" s="198"/>
    </row>
    <row r="101" spans="1:11" x14ac:dyDescent="0.2">
      <c r="A101" s="10">
        <v>23513</v>
      </c>
      <c r="B101" s="11">
        <v>42928</v>
      </c>
      <c r="C101" s="12">
        <v>15.639999999999999</v>
      </c>
      <c r="D101" s="12">
        <v>1.19</v>
      </c>
      <c r="E101" s="17"/>
      <c r="I101" s="10"/>
      <c r="K101" s="198"/>
    </row>
    <row r="102" spans="1:11" x14ac:dyDescent="0.2">
      <c r="A102" s="10">
        <v>23514</v>
      </c>
      <c r="B102" s="11">
        <v>42928</v>
      </c>
      <c r="C102" s="12">
        <v>79.02</v>
      </c>
      <c r="D102" s="12">
        <v>6.02</v>
      </c>
      <c r="E102" s="15" t="s">
        <v>11</v>
      </c>
      <c r="I102" s="10"/>
      <c r="K102" s="198"/>
    </row>
    <row r="103" spans="1:11" x14ac:dyDescent="0.2">
      <c r="A103" s="10">
        <v>23515</v>
      </c>
      <c r="B103" s="11">
        <v>42928</v>
      </c>
      <c r="C103" s="12">
        <v>20</v>
      </c>
      <c r="D103" s="12">
        <v>1.52</v>
      </c>
      <c r="E103" s="17"/>
      <c r="I103" s="10"/>
      <c r="K103" s="198"/>
    </row>
    <row r="104" spans="1:11" x14ac:dyDescent="0.2">
      <c r="A104" s="10">
        <v>23516</v>
      </c>
      <c r="B104" s="11">
        <v>42928</v>
      </c>
      <c r="C104" s="12">
        <v>464.39</v>
      </c>
      <c r="D104" s="12">
        <v>35.39</v>
      </c>
      <c r="E104" s="13" t="s">
        <v>1125</v>
      </c>
      <c r="F104" s="261"/>
      <c r="G104" s="262"/>
      <c r="H104" s="12"/>
      <c r="I104" s="10"/>
      <c r="K104" s="198"/>
    </row>
    <row r="105" spans="1:11" x14ac:dyDescent="0.2">
      <c r="A105" s="10">
        <v>23517</v>
      </c>
      <c r="B105" s="11">
        <v>42928</v>
      </c>
      <c r="C105" s="12">
        <v>312.3</v>
      </c>
      <c r="D105" s="12">
        <v>23.8</v>
      </c>
      <c r="E105" s="15" t="s">
        <v>11</v>
      </c>
      <c r="F105" s="257">
        <f>10+44.27+C29+C98+C99+C95+218.26+C102+150</f>
        <v>1034.72</v>
      </c>
      <c r="G105" s="258">
        <f>+F105*0.97831</f>
        <v>1012.2769232000001</v>
      </c>
      <c r="H105" s="253" t="s">
        <v>1126</v>
      </c>
      <c r="I105" s="10"/>
      <c r="K105" s="198"/>
    </row>
    <row r="106" spans="1:11" x14ac:dyDescent="0.2">
      <c r="A106" s="10">
        <v>23518</v>
      </c>
      <c r="B106" s="11">
        <v>42929</v>
      </c>
      <c r="C106" s="12">
        <v>36.81</v>
      </c>
      <c r="D106" s="12">
        <v>2.81</v>
      </c>
      <c r="E106" s="15" t="s">
        <v>11</v>
      </c>
      <c r="I106" s="10"/>
      <c r="K106" s="198"/>
    </row>
    <row r="107" spans="1:11" x14ac:dyDescent="0.2">
      <c r="A107" s="10">
        <v>23519</v>
      </c>
      <c r="B107" s="11">
        <v>42929</v>
      </c>
      <c r="C107" s="12">
        <v>136.94</v>
      </c>
      <c r="D107" s="12">
        <v>10.44</v>
      </c>
      <c r="E107" s="15" t="s">
        <v>11</v>
      </c>
      <c r="I107" s="10"/>
      <c r="K107" s="198"/>
    </row>
    <row r="108" spans="1:11" x14ac:dyDescent="0.2">
      <c r="A108" s="10">
        <v>23520</v>
      </c>
      <c r="B108" s="11">
        <v>42929</v>
      </c>
      <c r="C108" s="12">
        <v>14</v>
      </c>
      <c r="D108" s="12">
        <v>1.07</v>
      </c>
      <c r="E108" s="15"/>
      <c r="F108" s="259"/>
      <c r="G108" s="260"/>
      <c r="H108" s="10"/>
      <c r="I108" s="10"/>
      <c r="K108" s="198"/>
    </row>
    <row r="109" spans="1:11" x14ac:dyDescent="0.2">
      <c r="A109" s="10">
        <v>23521</v>
      </c>
      <c r="B109" s="11">
        <v>42929</v>
      </c>
      <c r="C109" s="12">
        <v>19</v>
      </c>
      <c r="D109" s="12">
        <v>1.45</v>
      </c>
      <c r="E109" s="17"/>
      <c r="I109" s="10"/>
      <c r="K109" s="198"/>
    </row>
    <row r="110" spans="1:11" x14ac:dyDescent="0.2">
      <c r="A110" s="10">
        <v>23522</v>
      </c>
      <c r="B110" s="11">
        <v>42929</v>
      </c>
      <c r="C110" s="12">
        <v>340.18</v>
      </c>
      <c r="D110" s="12">
        <v>25.93</v>
      </c>
      <c r="E110" s="15" t="s">
        <v>11</v>
      </c>
      <c r="F110" s="257">
        <f>53.04+C106+C107+134+C110</f>
        <v>700.97</v>
      </c>
      <c r="G110" s="258">
        <f>+F110*0.97831</f>
        <v>685.76596070000005</v>
      </c>
      <c r="H110" s="253"/>
      <c r="I110" s="10"/>
      <c r="K110" s="198"/>
    </row>
    <row r="111" spans="1:11" x14ac:dyDescent="0.2">
      <c r="A111" s="10">
        <v>23523</v>
      </c>
      <c r="B111" s="11">
        <v>42930</v>
      </c>
      <c r="C111" s="12">
        <v>25</v>
      </c>
      <c r="D111" s="12">
        <v>1.9</v>
      </c>
      <c r="E111" s="17"/>
      <c r="I111" s="10"/>
      <c r="K111" s="198"/>
    </row>
    <row r="112" spans="1:11" x14ac:dyDescent="0.2">
      <c r="A112" s="10">
        <v>23524</v>
      </c>
      <c r="B112" s="11">
        <v>42930</v>
      </c>
      <c r="C112" s="12">
        <v>100</v>
      </c>
      <c r="D112" s="12">
        <v>7.62</v>
      </c>
      <c r="E112" s="17"/>
      <c r="F112" s="261"/>
      <c r="G112" s="262"/>
      <c r="H112" s="12"/>
      <c r="I112" s="10"/>
      <c r="K112" s="198"/>
    </row>
    <row r="113" spans="1:11" x14ac:dyDescent="0.2">
      <c r="A113" s="10">
        <v>23525</v>
      </c>
      <c r="B113" s="11">
        <v>42930</v>
      </c>
      <c r="C113" s="12">
        <v>14.07</v>
      </c>
      <c r="D113" s="12">
        <v>1.07</v>
      </c>
      <c r="E113" s="17"/>
      <c r="F113" s="261"/>
      <c r="G113" s="262"/>
      <c r="H113" s="12"/>
      <c r="I113" s="10"/>
      <c r="K113" s="198"/>
    </row>
    <row r="114" spans="1:11" x14ac:dyDescent="0.2">
      <c r="A114" s="10">
        <v>23526</v>
      </c>
      <c r="B114" s="11">
        <v>42930</v>
      </c>
      <c r="C114" s="12">
        <v>8.66</v>
      </c>
      <c r="D114" s="12">
        <v>0.66</v>
      </c>
      <c r="E114" s="15" t="s">
        <v>11</v>
      </c>
      <c r="F114" s="259"/>
      <c r="G114" s="260"/>
      <c r="H114" s="10"/>
      <c r="I114" s="10"/>
      <c r="K114" s="198"/>
    </row>
    <row r="115" spans="1:11" x14ac:dyDescent="0.2">
      <c r="A115" s="10">
        <v>23527</v>
      </c>
      <c r="B115" s="11">
        <v>42930</v>
      </c>
      <c r="C115" s="12">
        <v>51.96</v>
      </c>
      <c r="D115" s="12">
        <v>3.96</v>
      </c>
      <c r="E115" s="13"/>
      <c r="F115" s="261"/>
      <c r="G115" s="262"/>
      <c r="H115" s="12"/>
      <c r="I115" s="10"/>
      <c r="K115" s="198"/>
    </row>
    <row r="116" spans="1:11" x14ac:dyDescent="0.2">
      <c r="A116" s="10">
        <v>23528</v>
      </c>
      <c r="B116" s="11">
        <v>42930</v>
      </c>
      <c r="C116" s="12">
        <v>217.15</v>
      </c>
      <c r="D116" s="12">
        <v>16.55</v>
      </c>
      <c r="E116" s="15" t="s">
        <v>1127</v>
      </c>
      <c r="F116" s="259"/>
      <c r="G116" s="260"/>
      <c r="H116" s="10"/>
      <c r="I116" s="10"/>
      <c r="K116" s="198"/>
    </row>
    <row r="117" spans="1:11" x14ac:dyDescent="0.2">
      <c r="A117" s="10">
        <v>23529</v>
      </c>
      <c r="B117" s="11">
        <v>42930</v>
      </c>
      <c r="C117" s="12">
        <v>185.65</v>
      </c>
      <c r="D117" s="12">
        <v>14.15</v>
      </c>
      <c r="E117" s="15" t="s">
        <v>1128</v>
      </c>
      <c r="I117" s="10"/>
      <c r="K117" s="198"/>
    </row>
    <row r="118" spans="1:11" x14ac:dyDescent="0.2">
      <c r="A118" s="10">
        <v>23530</v>
      </c>
      <c r="B118" s="11">
        <v>42930</v>
      </c>
      <c r="C118" s="12">
        <v>25.98</v>
      </c>
      <c r="D118" s="12">
        <v>1.98</v>
      </c>
      <c r="E118" s="15" t="s">
        <v>533</v>
      </c>
      <c r="F118" s="259"/>
      <c r="G118" s="260"/>
      <c r="H118" s="10"/>
      <c r="I118" s="10"/>
      <c r="K118" s="198"/>
    </row>
    <row r="119" spans="1:11" x14ac:dyDescent="0.2">
      <c r="A119" s="10">
        <v>23531</v>
      </c>
      <c r="B119" s="11">
        <v>42930</v>
      </c>
      <c r="C119" s="12">
        <v>120.7</v>
      </c>
      <c r="D119" s="12">
        <v>9.1999999999999993</v>
      </c>
      <c r="E119" s="15" t="s">
        <v>26</v>
      </c>
      <c r="F119" s="259"/>
      <c r="G119" s="260"/>
      <c r="H119" s="10"/>
      <c r="I119" s="10"/>
      <c r="K119" s="198"/>
    </row>
    <row r="120" spans="1:11" x14ac:dyDescent="0.2">
      <c r="A120" s="10">
        <v>23532</v>
      </c>
      <c r="B120" s="11">
        <v>42930</v>
      </c>
      <c r="C120" s="12">
        <v>-323.67</v>
      </c>
      <c r="D120" s="12">
        <v>-24.67</v>
      </c>
      <c r="E120" s="13"/>
      <c r="F120" s="261"/>
      <c r="G120" s="262"/>
      <c r="H120" s="12"/>
      <c r="I120" s="10"/>
      <c r="K120" s="198"/>
    </row>
    <row r="121" spans="1:11" x14ac:dyDescent="0.2">
      <c r="A121" s="10">
        <v>23533</v>
      </c>
      <c r="B121" s="11">
        <v>42930</v>
      </c>
      <c r="C121" s="12">
        <v>700</v>
      </c>
      <c r="D121" s="12">
        <v>140.25</v>
      </c>
      <c r="E121" s="15" t="s">
        <v>11</v>
      </c>
      <c r="F121" s="259"/>
      <c r="G121" s="260"/>
      <c r="H121" s="10"/>
      <c r="I121" s="10"/>
      <c r="K121" s="198"/>
    </row>
    <row r="122" spans="1:11" x14ac:dyDescent="0.2">
      <c r="A122" s="10">
        <v>23534</v>
      </c>
      <c r="B122" s="11">
        <v>42930</v>
      </c>
      <c r="C122" s="12">
        <v>119.08</v>
      </c>
      <c r="D122" s="12">
        <v>9.08</v>
      </c>
      <c r="E122" s="15"/>
      <c r="F122" s="257">
        <f>+C114+C121+35</f>
        <v>743.66</v>
      </c>
      <c r="G122" s="258">
        <f>+F122*0.97831</f>
        <v>727.53001459999996</v>
      </c>
      <c r="H122" s="253" t="s">
        <v>1129</v>
      </c>
      <c r="I122" s="10"/>
      <c r="K122" s="198"/>
    </row>
    <row r="123" spans="1:11" x14ac:dyDescent="0.2">
      <c r="A123" s="10">
        <v>23535</v>
      </c>
      <c r="B123" s="11">
        <v>42931</v>
      </c>
      <c r="C123" s="12">
        <v>5.3900000000000006</v>
      </c>
      <c r="D123" s="12">
        <v>0.41</v>
      </c>
      <c r="E123" s="17"/>
      <c r="F123" s="261"/>
      <c r="G123" s="262"/>
      <c r="H123" s="12"/>
      <c r="I123" s="10"/>
      <c r="K123" s="198"/>
    </row>
    <row r="124" spans="1:11" x14ac:dyDescent="0.2">
      <c r="A124" s="10">
        <v>23536</v>
      </c>
      <c r="B124" s="11">
        <v>42931</v>
      </c>
      <c r="C124" s="12">
        <v>14.07</v>
      </c>
      <c r="D124" s="12">
        <v>1.07</v>
      </c>
      <c r="E124" s="17"/>
      <c r="F124" s="261"/>
      <c r="G124" s="262"/>
      <c r="H124" s="12"/>
      <c r="I124" s="10"/>
      <c r="K124" s="198"/>
    </row>
    <row r="125" spans="1:11" x14ac:dyDescent="0.2">
      <c r="A125" s="10">
        <v>23537</v>
      </c>
      <c r="B125" s="11">
        <v>42931</v>
      </c>
      <c r="C125" s="12">
        <v>16.239999999999998</v>
      </c>
      <c r="D125" s="12">
        <v>1.24</v>
      </c>
      <c r="E125" s="17"/>
      <c r="F125" s="261"/>
      <c r="G125" s="262"/>
      <c r="H125" s="12"/>
      <c r="I125" s="10"/>
      <c r="K125" s="198"/>
    </row>
    <row r="126" spans="1:11" x14ac:dyDescent="0.2">
      <c r="A126" s="10">
        <v>23538</v>
      </c>
      <c r="B126" s="11">
        <v>42931</v>
      </c>
      <c r="C126" s="12">
        <v>-35.72</v>
      </c>
      <c r="D126" s="12">
        <v>-2.72</v>
      </c>
      <c r="E126" s="17"/>
      <c r="F126" s="261"/>
      <c r="G126" s="262"/>
      <c r="H126" s="12"/>
      <c r="I126" s="10"/>
      <c r="K126" s="198"/>
    </row>
    <row r="127" spans="1:11" x14ac:dyDescent="0.2">
      <c r="A127" s="10">
        <v>23539</v>
      </c>
      <c r="B127" s="11">
        <v>42931</v>
      </c>
      <c r="C127" s="12">
        <v>30.31</v>
      </c>
      <c r="D127" s="12">
        <v>2.31</v>
      </c>
      <c r="E127" s="17"/>
      <c r="I127" s="10"/>
      <c r="K127" s="198"/>
    </row>
    <row r="128" spans="1:11" x14ac:dyDescent="0.2">
      <c r="A128" s="10">
        <v>23540</v>
      </c>
      <c r="B128" s="11">
        <v>42931</v>
      </c>
      <c r="C128" s="12">
        <v>224</v>
      </c>
      <c r="D128" s="12">
        <v>17.07</v>
      </c>
      <c r="E128" s="17"/>
      <c r="I128" s="10"/>
      <c r="K128" s="198"/>
    </row>
    <row r="129" spans="1:11" x14ac:dyDescent="0.2">
      <c r="A129" s="10">
        <v>23541</v>
      </c>
      <c r="B129" s="11">
        <v>42931</v>
      </c>
      <c r="C129" s="12">
        <v>41</v>
      </c>
      <c r="D129" s="12"/>
      <c r="E129" s="15" t="s">
        <v>1130</v>
      </c>
      <c r="I129" s="10"/>
      <c r="K129" s="198"/>
    </row>
    <row r="130" spans="1:11" x14ac:dyDescent="0.2">
      <c r="A130" s="10">
        <v>23542</v>
      </c>
      <c r="B130" s="11">
        <v>42931</v>
      </c>
      <c r="C130" s="12">
        <v>35</v>
      </c>
      <c r="D130" s="12">
        <v>2.67</v>
      </c>
      <c r="E130" s="17"/>
      <c r="F130" s="261"/>
      <c r="G130" s="262"/>
      <c r="H130" s="12"/>
      <c r="I130" s="10"/>
      <c r="K130" s="198"/>
    </row>
    <row r="131" spans="1:11" x14ac:dyDescent="0.2">
      <c r="A131" s="10">
        <v>23543</v>
      </c>
      <c r="B131" s="11">
        <v>42931</v>
      </c>
      <c r="C131" s="12">
        <v>33.56</v>
      </c>
      <c r="D131" s="12">
        <v>2.56</v>
      </c>
      <c r="E131" s="17"/>
      <c r="I131" s="10"/>
      <c r="K131" s="198"/>
    </row>
    <row r="132" spans="1:11" x14ac:dyDescent="0.2">
      <c r="A132" s="10">
        <v>23544</v>
      </c>
      <c r="B132" s="11">
        <v>42931</v>
      </c>
      <c r="C132" s="12">
        <v>220.51</v>
      </c>
      <c r="D132" s="12">
        <v>16.809999999999999</v>
      </c>
      <c r="E132" s="15" t="s">
        <v>21</v>
      </c>
      <c r="F132" s="259"/>
      <c r="G132" s="260"/>
      <c r="H132" s="10"/>
      <c r="I132" s="10"/>
      <c r="K132" s="198"/>
    </row>
    <row r="133" spans="1:11" x14ac:dyDescent="0.2">
      <c r="A133" s="10">
        <v>23545</v>
      </c>
      <c r="B133" s="11">
        <v>42931</v>
      </c>
      <c r="C133" s="12">
        <v>678.73</v>
      </c>
      <c r="D133" s="12">
        <v>51.73</v>
      </c>
      <c r="E133" s="13"/>
      <c r="I133" s="10"/>
      <c r="K133" s="198"/>
    </row>
    <row r="134" spans="1:11" x14ac:dyDescent="0.2">
      <c r="A134" s="10">
        <v>23546</v>
      </c>
      <c r="B134" s="11">
        <v>42931</v>
      </c>
      <c r="C134" s="12">
        <v>14.829999999999998</v>
      </c>
      <c r="D134" s="12">
        <v>1.1299999999999999</v>
      </c>
      <c r="E134" s="17"/>
      <c r="F134" s="261"/>
      <c r="G134" s="262"/>
      <c r="H134" s="12"/>
      <c r="I134" s="10"/>
      <c r="K134" s="198"/>
    </row>
    <row r="135" spans="1:11" x14ac:dyDescent="0.2">
      <c r="A135" s="10">
        <v>23547</v>
      </c>
      <c r="B135" s="11">
        <v>42931</v>
      </c>
      <c r="C135" s="12">
        <v>45</v>
      </c>
      <c r="D135" s="12">
        <v>3.43</v>
      </c>
      <c r="E135" s="17"/>
      <c r="F135" s="257">
        <v>169.34</v>
      </c>
      <c r="G135" s="258">
        <f>+F135*0.97831</f>
        <v>165.6670154</v>
      </c>
      <c r="H135" s="253"/>
      <c r="I135" s="10"/>
      <c r="K135" s="198"/>
    </row>
    <row r="136" spans="1:11" x14ac:dyDescent="0.2">
      <c r="A136" s="10">
        <v>23548</v>
      </c>
      <c r="B136" s="11">
        <v>42933</v>
      </c>
      <c r="C136" s="12">
        <v>266.83999999999997</v>
      </c>
      <c r="D136" s="12">
        <v>20.34</v>
      </c>
      <c r="E136" s="17"/>
      <c r="F136" s="261"/>
      <c r="G136" s="262"/>
      <c r="H136" s="12"/>
      <c r="I136" s="10"/>
      <c r="K136" s="198"/>
    </row>
    <row r="137" spans="1:11" x14ac:dyDescent="0.2">
      <c r="A137" s="10">
        <v>23549</v>
      </c>
      <c r="B137" s="11">
        <v>42933</v>
      </c>
      <c r="C137" s="12">
        <v>218.67000000000002</v>
      </c>
      <c r="D137" s="12">
        <v>16.670000000000002</v>
      </c>
      <c r="E137" s="15" t="s">
        <v>1131</v>
      </c>
      <c r="I137" s="10"/>
      <c r="K137" s="198"/>
    </row>
    <row r="138" spans="1:11" x14ac:dyDescent="0.2">
      <c r="A138" s="10">
        <v>23550</v>
      </c>
      <c r="B138" s="11">
        <v>42933</v>
      </c>
      <c r="C138" s="12">
        <v>519.6</v>
      </c>
      <c r="D138" s="12">
        <v>39.6</v>
      </c>
      <c r="E138" s="15" t="s">
        <v>1132</v>
      </c>
      <c r="I138" s="10"/>
      <c r="K138" s="198"/>
    </row>
    <row r="139" spans="1:11" x14ac:dyDescent="0.2">
      <c r="A139" s="10">
        <v>23551</v>
      </c>
      <c r="B139" s="11">
        <v>42933</v>
      </c>
      <c r="C139" s="12">
        <v>215.42000000000002</v>
      </c>
      <c r="D139" s="12">
        <v>16.420000000000002</v>
      </c>
      <c r="E139" s="13" t="s">
        <v>1133</v>
      </c>
      <c r="I139" s="10"/>
      <c r="K139" s="198"/>
    </row>
    <row r="140" spans="1:11" x14ac:dyDescent="0.2">
      <c r="A140" s="10">
        <v>23552</v>
      </c>
      <c r="B140" s="11">
        <v>42933</v>
      </c>
      <c r="C140" s="12">
        <v>74.69</v>
      </c>
      <c r="D140" s="12">
        <v>5.69</v>
      </c>
      <c r="E140" s="15" t="s">
        <v>533</v>
      </c>
      <c r="F140" s="259"/>
      <c r="G140" s="260"/>
      <c r="H140" s="10"/>
      <c r="I140" s="10"/>
      <c r="K140" s="198"/>
    </row>
    <row r="141" spans="1:11" x14ac:dyDescent="0.2">
      <c r="A141" s="10">
        <v>23553</v>
      </c>
      <c r="B141" s="11">
        <v>42933</v>
      </c>
      <c r="C141" s="12">
        <v>66.03</v>
      </c>
      <c r="D141" s="12">
        <v>5.03</v>
      </c>
      <c r="E141" s="17"/>
      <c r="I141" s="10"/>
      <c r="K141" s="198"/>
    </row>
    <row r="142" spans="1:11" x14ac:dyDescent="0.2">
      <c r="A142" s="10">
        <v>23554</v>
      </c>
      <c r="B142" s="11">
        <v>42933</v>
      </c>
      <c r="C142" s="12">
        <v>15.16</v>
      </c>
      <c r="D142" s="12">
        <v>1.1599999999999999</v>
      </c>
      <c r="E142" s="17"/>
      <c r="F142" s="261"/>
      <c r="G142" s="262"/>
      <c r="H142" s="12"/>
      <c r="I142" s="10"/>
      <c r="K142" s="198"/>
    </row>
    <row r="143" spans="1:11" x14ac:dyDescent="0.2">
      <c r="A143" s="10">
        <v>23555</v>
      </c>
      <c r="B143" s="11">
        <v>42933</v>
      </c>
      <c r="C143" s="12">
        <v>140</v>
      </c>
      <c r="D143" s="12">
        <v>10.66</v>
      </c>
      <c r="E143" s="15" t="s">
        <v>533</v>
      </c>
      <c r="F143" s="259"/>
      <c r="G143" s="260"/>
      <c r="H143" s="10"/>
      <c r="I143" s="10"/>
      <c r="K143" s="198"/>
    </row>
    <row r="144" spans="1:11" x14ac:dyDescent="0.2">
      <c r="A144" s="10">
        <v>23556</v>
      </c>
      <c r="B144" s="11">
        <v>42933</v>
      </c>
      <c r="C144" s="12">
        <v>36.81</v>
      </c>
      <c r="D144" s="12">
        <v>2.81</v>
      </c>
      <c r="E144" s="15" t="s">
        <v>21</v>
      </c>
      <c r="I144" s="10"/>
      <c r="K144" s="198"/>
    </row>
    <row r="145" spans="1:11" x14ac:dyDescent="0.2">
      <c r="A145" s="10">
        <v>23557</v>
      </c>
      <c r="B145" s="11">
        <v>42933</v>
      </c>
      <c r="C145" s="12">
        <v>83.35</v>
      </c>
      <c r="D145" s="12">
        <v>6.35</v>
      </c>
      <c r="E145" s="15" t="s">
        <v>533</v>
      </c>
      <c r="F145" s="257">
        <f>100+200</f>
        <v>300</v>
      </c>
      <c r="G145" s="258">
        <f>+F145*0.97831</f>
        <v>293.49299999999999</v>
      </c>
      <c r="H145" s="253" t="s">
        <v>1134</v>
      </c>
      <c r="I145" s="10"/>
      <c r="K145" s="198"/>
    </row>
    <row r="146" spans="1:11" x14ac:dyDescent="0.2">
      <c r="A146" s="10">
        <v>23558</v>
      </c>
      <c r="B146" s="11">
        <v>42934</v>
      </c>
      <c r="C146" s="12">
        <v>12</v>
      </c>
      <c r="D146" s="12">
        <v>0.91</v>
      </c>
      <c r="E146" s="17"/>
      <c r="I146" s="10"/>
      <c r="K146" s="198"/>
    </row>
    <row r="147" spans="1:11" x14ac:dyDescent="0.2">
      <c r="A147" s="10">
        <v>23559</v>
      </c>
      <c r="B147" s="11">
        <v>42934</v>
      </c>
      <c r="C147" s="12">
        <v>16.18</v>
      </c>
      <c r="D147" s="12">
        <v>1.23</v>
      </c>
      <c r="E147" s="17"/>
      <c r="F147" s="261"/>
      <c r="G147" s="262"/>
      <c r="H147" s="12"/>
      <c r="I147" s="10"/>
      <c r="K147" s="198"/>
    </row>
    <row r="148" spans="1:11" x14ac:dyDescent="0.2">
      <c r="A148" s="10">
        <v>23560</v>
      </c>
      <c r="B148" s="11">
        <v>42934</v>
      </c>
      <c r="C148" s="12">
        <v>50</v>
      </c>
      <c r="D148" s="12">
        <v>0.76</v>
      </c>
      <c r="E148" s="15" t="s">
        <v>21</v>
      </c>
      <c r="F148" s="259"/>
      <c r="G148" s="260"/>
      <c r="H148" s="10"/>
      <c r="I148" s="10"/>
      <c r="K148" s="198"/>
    </row>
    <row r="149" spans="1:11" x14ac:dyDescent="0.2">
      <c r="A149" s="10">
        <v>23561</v>
      </c>
      <c r="B149" s="11">
        <v>42934</v>
      </c>
      <c r="C149" s="12">
        <v>69.28</v>
      </c>
      <c r="D149" s="12">
        <v>5.28</v>
      </c>
      <c r="E149" s="15" t="s">
        <v>1049</v>
      </c>
      <c r="I149" s="10"/>
      <c r="K149" s="198"/>
    </row>
    <row r="150" spans="1:11" x14ac:dyDescent="0.2">
      <c r="A150" s="10">
        <v>23562</v>
      </c>
      <c r="B150" s="11">
        <v>42934</v>
      </c>
      <c r="C150" s="12">
        <v>27.06</v>
      </c>
      <c r="D150" s="12">
        <v>2.06</v>
      </c>
      <c r="E150" s="15" t="s">
        <v>11</v>
      </c>
      <c r="I150" s="10"/>
      <c r="K150" s="198"/>
    </row>
    <row r="151" spans="1:11" x14ac:dyDescent="0.2">
      <c r="A151" s="10">
        <v>23563</v>
      </c>
      <c r="B151" s="11">
        <v>42934</v>
      </c>
      <c r="C151" s="12">
        <v>458</v>
      </c>
      <c r="D151" s="12"/>
      <c r="E151" s="15" t="s">
        <v>1118</v>
      </c>
      <c r="I151" s="10"/>
      <c r="K151" s="198"/>
    </row>
    <row r="152" spans="1:11" x14ac:dyDescent="0.2">
      <c r="A152" s="10">
        <v>23564</v>
      </c>
      <c r="B152" s="11">
        <v>42934</v>
      </c>
      <c r="C152" s="12">
        <v>240.06</v>
      </c>
      <c r="D152" s="12">
        <v>19.309999999999999</v>
      </c>
      <c r="E152" s="15" t="s">
        <v>87</v>
      </c>
      <c r="I152" s="10"/>
      <c r="K152" s="198"/>
    </row>
    <row r="153" spans="1:11" x14ac:dyDescent="0.2">
      <c r="A153" s="10">
        <v>23565</v>
      </c>
      <c r="B153" s="11">
        <v>42934</v>
      </c>
      <c r="C153" s="12">
        <v>59.88</v>
      </c>
      <c r="D153" s="12"/>
      <c r="E153" s="15" t="s">
        <v>1118</v>
      </c>
      <c r="F153" s="259"/>
      <c r="G153" s="260"/>
      <c r="H153" s="10"/>
      <c r="I153" s="10"/>
      <c r="K153" s="198"/>
    </row>
    <row r="154" spans="1:11" x14ac:dyDescent="0.2">
      <c r="A154" s="10">
        <v>23566</v>
      </c>
      <c r="B154" s="11">
        <v>42934</v>
      </c>
      <c r="C154" s="12">
        <v>243.56</v>
      </c>
      <c r="D154" s="12">
        <v>18.559999999999999</v>
      </c>
      <c r="E154" s="15" t="s">
        <v>21</v>
      </c>
      <c r="I154" s="10"/>
      <c r="K154" s="198"/>
    </row>
    <row r="155" spans="1:11" x14ac:dyDescent="0.2">
      <c r="A155" s="10">
        <v>23567</v>
      </c>
      <c r="B155" s="11">
        <v>42934</v>
      </c>
      <c r="C155" s="12">
        <v>14.02</v>
      </c>
      <c r="D155" s="12">
        <v>1.07</v>
      </c>
      <c r="E155" s="15" t="s">
        <v>7</v>
      </c>
      <c r="F155" s="257">
        <f>+C149+C155+C150</f>
        <v>110.36</v>
      </c>
      <c r="G155" s="258">
        <f>+F155*0.97831</f>
        <v>107.96629160000001</v>
      </c>
      <c r="H155" s="253" t="s">
        <v>1135</v>
      </c>
      <c r="I155" s="10"/>
      <c r="K155" s="198"/>
    </row>
    <row r="156" spans="1:11" x14ac:dyDescent="0.2">
      <c r="A156" s="10">
        <v>23568</v>
      </c>
      <c r="B156" s="11">
        <v>42935</v>
      </c>
      <c r="C156" s="12">
        <v>23.82</v>
      </c>
      <c r="D156" s="12">
        <v>1.82</v>
      </c>
      <c r="E156" s="15" t="s">
        <v>11</v>
      </c>
      <c r="I156" s="10"/>
      <c r="K156" s="198"/>
    </row>
    <row r="157" spans="1:11" x14ac:dyDescent="0.2">
      <c r="A157" s="10">
        <v>23569</v>
      </c>
      <c r="B157" s="11">
        <v>42935</v>
      </c>
      <c r="C157" s="12">
        <v>59.88</v>
      </c>
      <c r="D157" s="12"/>
      <c r="E157" s="15" t="s">
        <v>1118</v>
      </c>
      <c r="I157" s="10"/>
      <c r="K157" s="198"/>
    </row>
    <row r="158" spans="1:11" x14ac:dyDescent="0.2">
      <c r="A158" s="10">
        <v>23570</v>
      </c>
      <c r="B158" s="11">
        <v>42935</v>
      </c>
      <c r="C158" s="12">
        <v>242</v>
      </c>
      <c r="D158" s="12">
        <v>18.440000000000001</v>
      </c>
      <c r="E158" s="17"/>
      <c r="F158" s="261"/>
      <c r="G158" s="262"/>
      <c r="H158" s="12"/>
      <c r="I158" s="10"/>
      <c r="K158" s="198"/>
    </row>
    <row r="159" spans="1:11" x14ac:dyDescent="0.2">
      <c r="A159" s="10">
        <v>23571</v>
      </c>
      <c r="B159" s="11">
        <v>42935</v>
      </c>
      <c r="C159" s="12">
        <v>124.49</v>
      </c>
      <c r="D159" s="12">
        <v>9.49</v>
      </c>
      <c r="E159" s="15" t="s">
        <v>11</v>
      </c>
      <c r="F159" s="259"/>
      <c r="G159" s="260"/>
      <c r="H159" s="10"/>
      <c r="I159" s="10"/>
      <c r="K159" s="198"/>
    </row>
    <row r="160" spans="1:11" x14ac:dyDescent="0.2">
      <c r="A160" s="10">
        <v>23572</v>
      </c>
      <c r="B160" s="11">
        <v>42935</v>
      </c>
      <c r="C160" s="12">
        <v>73.5</v>
      </c>
      <c r="D160" s="12">
        <v>5.6</v>
      </c>
      <c r="E160" s="15" t="s">
        <v>11</v>
      </c>
      <c r="I160" s="10"/>
      <c r="K160" s="198"/>
    </row>
    <row r="161" spans="1:11" x14ac:dyDescent="0.2">
      <c r="A161" s="10">
        <v>23573</v>
      </c>
      <c r="B161" s="11">
        <v>42935</v>
      </c>
      <c r="C161" s="12">
        <v>10</v>
      </c>
      <c r="D161" s="12">
        <v>0.76</v>
      </c>
      <c r="E161" s="17"/>
      <c r="I161" s="10"/>
      <c r="K161" s="198"/>
    </row>
    <row r="162" spans="1:11" x14ac:dyDescent="0.2">
      <c r="A162" s="10">
        <v>23574</v>
      </c>
      <c r="B162" s="11">
        <v>42935</v>
      </c>
      <c r="C162" s="12">
        <v>25.5</v>
      </c>
      <c r="D162" s="12"/>
      <c r="E162" s="15" t="s">
        <v>857</v>
      </c>
      <c r="I162" s="10"/>
      <c r="K162" s="198"/>
    </row>
    <row r="163" spans="1:11" x14ac:dyDescent="0.2">
      <c r="A163" s="10">
        <v>23575</v>
      </c>
      <c r="B163" s="11">
        <v>42935</v>
      </c>
      <c r="C163" s="12">
        <v>71.45</v>
      </c>
      <c r="D163" s="12">
        <v>5.45</v>
      </c>
      <c r="E163" s="15" t="s">
        <v>533</v>
      </c>
      <c r="F163" s="257">
        <f>+C156+C159+C160</f>
        <v>221.81</v>
      </c>
      <c r="G163" s="258">
        <f>+F163*0.97831</f>
        <v>216.9989411</v>
      </c>
      <c r="H163" s="253" t="s">
        <v>1136</v>
      </c>
      <c r="I163" s="10"/>
      <c r="K163" s="198"/>
    </row>
    <row r="164" spans="1:11" x14ac:dyDescent="0.2">
      <c r="A164" s="10">
        <v>23576</v>
      </c>
      <c r="B164" s="11">
        <v>42936</v>
      </c>
      <c r="C164" s="12">
        <v>656.69999999999993</v>
      </c>
      <c r="D164" s="12">
        <v>50.05</v>
      </c>
      <c r="E164" s="15"/>
      <c r="I164" s="10"/>
      <c r="K164" s="198"/>
    </row>
    <row r="165" spans="1:11" x14ac:dyDescent="0.2">
      <c r="A165" s="10">
        <v>23577</v>
      </c>
      <c r="B165" s="11">
        <v>42936</v>
      </c>
      <c r="C165" s="12">
        <v>35.18</v>
      </c>
      <c r="D165" s="12">
        <v>2.68</v>
      </c>
      <c r="E165" s="15" t="s">
        <v>533</v>
      </c>
      <c r="I165" s="10"/>
      <c r="K165" s="198"/>
    </row>
    <row r="166" spans="1:11" x14ac:dyDescent="0.2">
      <c r="A166" s="10">
        <v>23578</v>
      </c>
      <c r="B166" s="11">
        <v>42936</v>
      </c>
      <c r="C166" s="12">
        <v>30.31</v>
      </c>
      <c r="D166" s="12">
        <v>2.31</v>
      </c>
      <c r="E166" s="15" t="s">
        <v>11</v>
      </c>
      <c r="I166" s="10"/>
      <c r="K166" s="198"/>
    </row>
    <row r="167" spans="1:11" x14ac:dyDescent="0.2">
      <c r="A167" s="10">
        <v>23579</v>
      </c>
      <c r="B167" s="11">
        <v>42936</v>
      </c>
      <c r="C167" s="12"/>
      <c r="D167" s="12"/>
      <c r="E167" s="13" t="s">
        <v>1137</v>
      </c>
      <c r="I167" s="10"/>
      <c r="K167" s="198"/>
    </row>
    <row r="168" spans="1:11" x14ac:dyDescent="0.2">
      <c r="A168" s="10">
        <v>23580</v>
      </c>
      <c r="B168" s="11">
        <v>42936</v>
      </c>
      <c r="C168" s="12">
        <v>109.55</v>
      </c>
      <c r="D168" s="12">
        <v>8.35</v>
      </c>
      <c r="E168" s="15" t="s">
        <v>533</v>
      </c>
      <c r="F168" s="259"/>
      <c r="G168" s="260"/>
      <c r="H168" s="10"/>
      <c r="I168" s="10"/>
      <c r="K168" s="198"/>
    </row>
    <row r="169" spans="1:11" x14ac:dyDescent="0.2">
      <c r="A169" s="10">
        <v>23581</v>
      </c>
      <c r="B169" s="11">
        <v>42936</v>
      </c>
      <c r="C169" s="12">
        <v>427.59000000000003</v>
      </c>
      <c r="D169" s="12">
        <v>32.590000000000003</v>
      </c>
      <c r="E169" s="15" t="s">
        <v>533</v>
      </c>
      <c r="F169" s="257">
        <f>+C166+220.51+C164+37.89</f>
        <v>945.41</v>
      </c>
      <c r="G169" s="258">
        <f>+F169*0.97831</f>
        <v>924.90405709999993</v>
      </c>
      <c r="H169" s="253" t="s">
        <v>1138</v>
      </c>
      <c r="I169" s="10"/>
      <c r="K169" s="198"/>
    </row>
    <row r="170" spans="1:11" x14ac:dyDescent="0.2">
      <c r="A170" s="10">
        <v>23582</v>
      </c>
      <c r="B170" s="11">
        <v>42937</v>
      </c>
      <c r="C170" s="12">
        <v>174.82</v>
      </c>
      <c r="D170" s="12">
        <v>13.32</v>
      </c>
      <c r="E170" s="15" t="s">
        <v>11</v>
      </c>
      <c r="I170" s="10"/>
      <c r="K170" s="198"/>
    </row>
    <row r="171" spans="1:11" x14ac:dyDescent="0.2">
      <c r="A171" s="10">
        <v>23583</v>
      </c>
      <c r="B171" s="11">
        <v>42937</v>
      </c>
      <c r="C171" s="12">
        <v>23.82</v>
      </c>
      <c r="D171" s="12">
        <v>1.82</v>
      </c>
      <c r="E171" s="17"/>
      <c r="F171" s="261"/>
      <c r="G171" s="262"/>
      <c r="H171" s="12"/>
      <c r="I171" s="10"/>
      <c r="K171" s="198"/>
    </row>
    <row r="172" spans="1:11" x14ac:dyDescent="0.2">
      <c r="A172" s="10">
        <v>23584</v>
      </c>
      <c r="B172" s="11">
        <v>42937</v>
      </c>
      <c r="C172" s="12">
        <v>206.76</v>
      </c>
      <c r="D172" s="12">
        <v>15.76</v>
      </c>
      <c r="E172" s="15" t="s">
        <v>533</v>
      </c>
      <c r="I172" s="10"/>
      <c r="K172" s="198"/>
    </row>
    <row r="173" spans="1:11" x14ac:dyDescent="0.2">
      <c r="A173" s="10">
        <v>23585</v>
      </c>
      <c r="B173" s="11">
        <v>42937</v>
      </c>
      <c r="C173" s="12">
        <v>166.71</v>
      </c>
      <c r="D173" s="12">
        <v>12.71</v>
      </c>
      <c r="E173" s="15" t="s">
        <v>11</v>
      </c>
      <c r="F173" s="259"/>
      <c r="G173" s="260"/>
      <c r="H173" s="10"/>
      <c r="I173" s="10"/>
      <c r="K173" s="198"/>
    </row>
    <row r="174" spans="1:11" x14ac:dyDescent="0.2">
      <c r="A174" s="10">
        <v>23586</v>
      </c>
      <c r="B174" s="11">
        <v>42937</v>
      </c>
      <c r="C174" s="12">
        <v>25.98</v>
      </c>
      <c r="D174" s="12">
        <v>1.98</v>
      </c>
      <c r="E174" s="15" t="s">
        <v>11</v>
      </c>
      <c r="F174" s="259"/>
      <c r="G174" s="260"/>
      <c r="H174" s="10"/>
      <c r="I174" s="10"/>
      <c r="K174" s="198"/>
    </row>
    <row r="175" spans="1:11" x14ac:dyDescent="0.2">
      <c r="A175" s="10">
        <v>23587</v>
      </c>
      <c r="B175" s="11">
        <v>42937</v>
      </c>
      <c r="C175" s="12">
        <v>25.2</v>
      </c>
      <c r="D175" s="12"/>
      <c r="E175" s="15" t="s">
        <v>17</v>
      </c>
      <c r="F175" s="259"/>
      <c r="G175" s="260"/>
      <c r="H175" s="10"/>
      <c r="I175" s="10"/>
      <c r="K175" s="198"/>
    </row>
    <row r="176" spans="1:11" x14ac:dyDescent="0.2">
      <c r="A176" s="10">
        <v>23588</v>
      </c>
      <c r="B176" s="11">
        <v>42937</v>
      </c>
      <c r="C176" s="12">
        <v>25.2</v>
      </c>
      <c r="D176" s="12"/>
      <c r="E176" s="15" t="s">
        <v>17</v>
      </c>
      <c r="F176" s="259"/>
      <c r="G176" s="260"/>
      <c r="H176" s="10"/>
      <c r="I176" s="10"/>
      <c r="K176" s="198"/>
    </row>
    <row r="177" spans="1:11" x14ac:dyDescent="0.2">
      <c r="A177" s="10">
        <v>23589</v>
      </c>
      <c r="B177" s="11">
        <v>42937</v>
      </c>
      <c r="C177" s="12">
        <v>8.66</v>
      </c>
      <c r="D177" s="12">
        <v>0.66</v>
      </c>
      <c r="E177" s="13"/>
      <c r="F177" s="261"/>
      <c r="G177" s="262"/>
      <c r="H177" s="12"/>
      <c r="I177" s="10"/>
      <c r="K177" s="198"/>
    </row>
    <row r="178" spans="1:11" x14ac:dyDescent="0.2">
      <c r="A178" s="10">
        <v>23590</v>
      </c>
      <c r="B178" s="11">
        <v>42937</v>
      </c>
      <c r="C178" s="12">
        <v>25.2</v>
      </c>
      <c r="D178" s="12"/>
      <c r="E178" s="15" t="s">
        <v>17</v>
      </c>
      <c r="F178" s="259"/>
      <c r="G178" s="260"/>
      <c r="H178" s="10"/>
      <c r="I178" s="10"/>
      <c r="K178" s="198"/>
    </row>
    <row r="179" spans="1:11" x14ac:dyDescent="0.2">
      <c r="A179" s="10">
        <v>23591</v>
      </c>
      <c r="B179" s="11">
        <v>42937</v>
      </c>
      <c r="C179" s="12">
        <v>25.2</v>
      </c>
      <c r="D179" s="12"/>
      <c r="E179" s="15" t="s">
        <v>17</v>
      </c>
      <c r="I179" s="10"/>
      <c r="K179" s="198"/>
    </row>
    <row r="180" spans="1:11" x14ac:dyDescent="0.2">
      <c r="A180" s="10">
        <v>23592</v>
      </c>
      <c r="B180" s="11">
        <v>42937</v>
      </c>
      <c r="C180" s="12">
        <v>87.68</v>
      </c>
      <c r="D180" s="12">
        <v>6.68</v>
      </c>
      <c r="E180" s="17"/>
      <c r="F180" s="261"/>
      <c r="G180" s="262"/>
      <c r="H180" s="12"/>
      <c r="I180" s="10"/>
      <c r="K180" s="198"/>
    </row>
    <row r="181" spans="1:11" x14ac:dyDescent="0.2">
      <c r="A181" s="10">
        <v>23593</v>
      </c>
      <c r="B181" s="11">
        <v>42937</v>
      </c>
      <c r="C181" s="12">
        <v>58.239999999999995</v>
      </c>
      <c r="D181" s="12">
        <v>4.4400000000000004</v>
      </c>
      <c r="E181" s="15" t="s">
        <v>533</v>
      </c>
      <c r="I181" s="10"/>
      <c r="K181" s="198"/>
    </row>
    <row r="182" spans="1:11" x14ac:dyDescent="0.2">
      <c r="A182" s="10">
        <v>23594</v>
      </c>
      <c r="B182" s="11">
        <v>42937</v>
      </c>
      <c r="C182" s="12">
        <v>185.11</v>
      </c>
      <c r="D182" s="12">
        <v>14.11</v>
      </c>
      <c r="E182" s="15" t="s">
        <v>11</v>
      </c>
      <c r="F182" s="259"/>
      <c r="G182" s="260"/>
      <c r="H182" s="10"/>
      <c r="I182" s="10"/>
      <c r="K182" s="198"/>
    </row>
    <row r="183" spans="1:11" x14ac:dyDescent="0.2">
      <c r="A183" s="10">
        <v>23595</v>
      </c>
      <c r="B183" s="11">
        <v>42937</v>
      </c>
      <c r="C183" s="12">
        <v>258.72000000000003</v>
      </c>
      <c r="D183" s="12">
        <v>19.72</v>
      </c>
      <c r="E183" s="15" t="s">
        <v>21</v>
      </c>
      <c r="I183" s="10"/>
      <c r="K183" s="198"/>
    </row>
    <row r="184" spans="1:11" x14ac:dyDescent="0.2">
      <c r="A184" s="10">
        <v>23596</v>
      </c>
      <c r="B184" s="11">
        <v>42937</v>
      </c>
      <c r="C184" s="12">
        <v>8.06</v>
      </c>
      <c r="D184" s="12"/>
      <c r="E184" s="15" t="s">
        <v>869</v>
      </c>
      <c r="F184" s="257">
        <f>+C170+C173+C174+C175+C176+C178+C179+35+C182</f>
        <v>688.42</v>
      </c>
      <c r="G184" s="258">
        <f>+F184*0.97831</f>
        <v>673.48817020000001</v>
      </c>
      <c r="H184" s="253" t="s">
        <v>1139</v>
      </c>
      <c r="I184" s="10"/>
      <c r="K184" s="198"/>
    </row>
    <row r="185" spans="1:11" x14ac:dyDescent="0.2">
      <c r="A185" s="10">
        <v>23597</v>
      </c>
      <c r="B185" s="11">
        <v>42938</v>
      </c>
      <c r="C185" s="12">
        <v>90</v>
      </c>
      <c r="D185" s="12">
        <v>6.86</v>
      </c>
      <c r="E185" s="17"/>
      <c r="F185" s="261"/>
      <c r="G185" s="262"/>
      <c r="H185" s="12"/>
      <c r="I185" s="10"/>
      <c r="K185" s="198"/>
    </row>
    <row r="186" spans="1:11" x14ac:dyDescent="0.2">
      <c r="A186" s="10">
        <v>23598</v>
      </c>
      <c r="B186" s="11">
        <v>42938</v>
      </c>
      <c r="C186" s="12">
        <v>30.31</v>
      </c>
      <c r="D186" s="12">
        <v>2.31</v>
      </c>
      <c r="E186" s="13" t="s">
        <v>1140</v>
      </c>
      <c r="F186" s="261"/>
      <c r="G186" s="262"/>
      <c r="H186" s="12"/>
      <c r="I186" s="10"/>
      <c r="K186" s="198"/>
    </row>
    <row r="187" spans="1:11" x14ac:dyDescent="0.2">
      <c r="A187" s="10">
        <v>23599</v>
      </c>
      <c r="B187" s="11">
        <v>42938</v>
      </c>
      <c r="C187" s="12">
        <v>30.279999999999998</v>
      </c>
      <c r="D187" s="12">
        <v>2.31</v>
      </c>
      <c r="E187" s="17"/>
      <c r="I187" s="10"/>
      <c r="K187" s="198"/>
    </row>
    <row r="188" spans="1:11" x14ac:dyDescent="0.2">
      <c r="A188" s="10">
        <v>23600</v>
      </c>
      <c r="B188" s="11">
        <v>42938</v>
      </c>
      <c r="C188" s="12">
        <v>0</v>
      </c>
      <c r="D188" s="12"/>
      <c r="E188" s="15" t="s">
        <v>1141</v>
      </c>
      <c r="F188" s="259"/>
      <c r="G188" s="260"/>
      <c r="H188" s="10"/>
      <c r="I188" s="10"/>
      <c r="K188" s="198"/>
    </row>
    <row r="189" spans="1:11" x14ac:dyDescent="0.2">
      <c r="A189" s="10">
        <v>23601</v>
      </c>
      <c r="B189" s="11">
        <v>42938</v>
      </c>
      <c r="C189" s="12">
        <v>5</v>
      </c>
      <c r="D189" s="12">
        <v>0.38</v>
      </c>
      <c r="E189" s="17"/>
      <c r="F189" s="261"/>
      <c r="G189" s="262"/>
      <c r="H189" s="12"/>
      <c r="I189" s="10"/>
      <c r="K189" s="198"/>
    </row>
    <row r="190" spans="1:11" x14ac:dyDescent="0.2">
      <c r="A190" s="10">
        <v>23602</v>
      </c>
      <c r="B190" s="11">
        <v>42938</v>
      </c>
      <c r="C190" s="12">
        <v>153.30000000000001</v>
      </c>
      <c r="D190" s="12">
        <v>11.68</v>
      </c>
      <c r="E190" s="17"/>
      <c r="I190" s="10"/>
      <c r="K190" s="198"/>
    </row>
    <row r="191" spans="1:11" x14ac:dyDescent="0.2">
      <c r="A191" s="10">
        <v>23603</v>
      </c>
      <c r="B191" s="11">
        <v>42938</v>
      </c>
      <c r="C191" s="12">
        <v>53.04</v>
      </c>
      <c r="D191" s="12">
        <v>4.04</v>
      </c>
      <c r="E191" s="15" t="s">
        <v>533</v>
      </c>
      <c r="I191" s="10"/>
      <c r="K191" s="198"/>
    </row>
    <row r="192" spans="1:11" x14ac:dyDescent="0.2">
      <c r="A192" s="10">
        <v>23604</v>
      </c>
      <c r="B192" s="11">
        <v>42938</v>
      </c>
      <c r="C192" s="12">
        <v>46.49</v>
      </c>
      <c r="D192" s="12">
        <v>3.54</v>
      </c>
      <c r="E192" s="15" t="s">
        <v>11</v>
      </c>
      <c r="I192" s="10"/>
      <c r="K192" s="198"/>
    </row>
    <row r="193" spans="1:11" x14ac:dyDescent="0.2">
      <c r="A193" s="10">
        <v>23605</v>
      </c>
      <c r="B193" s="11">
        <v>42938</v>
      </c>
      <c r="C193" s="12">
        <v>192.14</v>
      </c>
      <c r="D193" s="12">
        <v>14.64</v>
      </c>
      <c r="E193" s="15" t="s">
        <v>11</v>
      </c>
      <c r="I193" s="10"/>
      <c r="K193" s="198"/>
    </row>
    <row r="194" spans="1:11" x14ac:dyDescent="0.2">
      <c r="A194" s="10">
        <v>23606</v>
      </c>
      <c r="B194" s="11">
        <v>42938</v>
      </c>
      <c r="C194" s="12">
        <v>27.009999999999998</v>
      </c>
      <c r="D194" s="12">
        <v>2.06</v>
      </c>
      <c r="E194" s="15" t="s">
        <v>533</v>
      </c>
      <c r="F194" s="259"/>
      <c r="G194" s="260"/>
      <c r="H194" s="10"/>
      <c r="I194" s="10"/>
      <c r="K194" s="198"/>
    </row>
    <row r="195" spans="1:11" x14ac:dyDescent="0.2">
      <c r="A195" s="10">
        <v>23607</v>
      </c>
      <c r="B195" s="11">
        <v>42938</v>
      </c>
      <c r="C195" s="12">
        <v>45</v>
      </c>
      <c r="D195" s="12">
        <v>3.43</v>
      </c>
      <c r="E195" s="15" t="s">
        <v>11</v>
      </c>
      <c r="I195" s="10"/>
      <c r="K195" s="198"/>
    </row>
    <row r="196" spans="1:11" x14ac:dyDescent="0.2">
      <c r="A196" s="10">
        <v>23608</v>
      </c>
      <c r="B196" s="11">
        <v>42938</v>
      </c>
      <c r="C196" s="12">
        <v>114</v>
      </c>
      <c r="D196" s="12">
        <v>8.69</v>
      </c>
      <c r="E196" s="15" t="s">
        <v>11</v>
      </c>
      <c r="F196" s="257">
        <f>900+53.3+36.81+C192+C195+C196+C193+60</f>
        <v>1447.7399999999998</v>
      </c>
      <c r="G196" s="258">
        <f>+F196*0.97831</f>
        <v>1416.3385193999998</v>
      </c>
      <c r="H196" s="253" t="s">
        <v>1142</v>
      </c>
      <c r="I196" s="10"/>
      <c r="K196" s="198"/>
    </row>
    <row r="197" spans="1:11" x14ac:dyDescent="0.2">
      <c r="A197" s="10">
        <v>23609</v>
      </c>
      <c r="B197" s="11">
        <v>42940</v>
      </c>
      <c r="C197" s="12">
        <v>221.91</v>
      </c>
      <c r="D197" s="12">
        <v>16.91</v>
      </c>
      <c r="E197" s="15" t="s">
        <v>11</v>
      </c>
      <c r="I197" s="10"/>
      <c r="K197" s="198"/>
    </row>
    <row r="198" spans="1:11" x14ac:dyDescent="0.2">
      <c r="A198" s="10">
        <v>23610</v>
      </c>
      <c r="B198" s="11">
        <v>42940</v>
      </c>
      <c r="C198" s="12">
        <v>116</v>
      </c>
      <c r="D198" s="12"/>
      <c r="E198" s="15" t="s">
        <v>10</v>
      </c>
      <c r="I198" s="10"/>
      <c r="K198" s="198"/>
    </row>
    <row r="199" spans="1:11" x14ac:dyDescent="0.2">
      <c r="A199" s="10">
        <v>23611</v>
      </c>
      <c r="B199" s="11">
        <v>42940</v>
      </c>
      <c r="C199" s="12">
        <v>10.83</v>
      </c>
      <c r="D199" s="12">
        <v>0.83</v>
      </c>
      <c r="E199" s="17"/>
      <c r="F199" s="261"/>
      <c r="G199" s="262"/>
      <c r="H199" s="12"/>
      <c r="I199" s="10"/>
      <c r="K199" s="198"/>
    </row>
    <row r="200" spans="1:11" x14ac:dyDescent="0.2">
      <c r="A200" s="10">
        <v>23612</v>
      </c>
      <c r="B200" s="11">
        <v>42940</v>
      </c>
      <c r="C200" s="12">
        <v>64.95</v>
      </c>
      <c r="D200" s="12">
        <v>4.95</v>
      </c>
      <c r="E200" s="15" t="s">
        <v>11</v>
      </c>
      <c r="I200" s="10"/>
      <c r="K200" s="198"/>
    </row>
    <row r="201" spans="1:11" x14ac:dyDescent="0.2">
      <c r="A201" s="10">
        <v>23613</v>
      </c>
      <c r="B201" s="11">
        <v>42940</v>
      </c>
      <c r="C201" s="12">
        <v>283</v>
      </c>
      <c r="D201" s="12">
        <v>21.57</v>
      </c>
      <c r="E201" s="15" t="s">
        <v>1143</v>
      </c>
      <c r="I201" s="10"/>
      <c r="K201" s="198"/>
    </row>
    <row r="202" spans="1:11" x14ac:dyDescent="0.2">
      <c r="A202" s="10">
        <v>23614</v>
      </c>
      <c r="B202" s="11">
        <v>42940</v>
      </c>
      <c r="C202" s="12">
        <v>32.479999999999997</v>
      </c>
      <c r="D202" s="12">
        <v>2.48</v>
      </c>
      <c r="E202" s="17"/>
      <c r="F202" s="261"/>
      <c r="G202" s="262"/>
      <c r="H202" s="12"/>
      <c r="I202" s="10"/>
      <c r="K202" s="198"/>
    </row>
    <row r="203" spans="1:11" x14ac:dyDescent="0.2">
      <c r="A203" s="10">
        <v>23615</v>
      </c>
      <c r="B203" s="11">
        <v>42940</v>
      </c>
      <c r="C203" s="12">
        <v>-23.82</v>
      </c>
      <c r="D203" s="12">
        <v>-1.82</v>
      </c>
      <c r="E203" s="13" t="s">
        <v>86</v>
      </c>
      <c r="I203" s="10"/>
      <c r="K203" s="198"/>
    </row>
    <row r="204" spans="1:11" x14ac:dyDescent="0.2">
      <c r="A204" s="10">
        <v>23616</v>
      </c>
      <c r="B204" s="11">
        <v>42940</v>
      </c>
      <c r="C204" s="12">
        <v>85.52</v>
      </c>
      <c r="D204" s="12">
        <v>6.52</v>
      </c>
      <c r="E204" s="15" t="s">
        <v>7</v>
      </c>
      <c r="F204" s="257">
        <f>+C197+118.67+C200+C204</f>
        <v>491.04999999999995</v>
      </c>
      <c r="G204" s="258">
        <f>+F204*0.97831</f>
        <v>480.39912549999997</v>
      </c>
      <c r="H204" s="253"/>
      <c r="I204" s="10"/>
      <c r="K204" s="198"/>
    </row>
    <row r="205" spans="1:11" x14ac:dyDescent="0.2">
      <c r="A205" s="10">
        <v>23617</v>
      </c>
      <c r="B205" s="11">
        <v>42941</v>
      </c>
      <c r="C205" s="12">
        <v>25.2</v>
      </c>
      <c r="D205" s="12"/>
      <c r="E205" s="15" t="s">
        <v>17</v>
      </c>
      <c r="F205" s="259"/>
      <c r="G205" s="260"/>
      <c r="H205" s="10"/>
      <c r="I205" s="10"/>
      <c r="K205" s="198"/>
    </row>
    <row r="206" spans="1:11" x14ac:dyDescent="0.2">
      <c r="A206" s="10">
        <v>23618</v>
      </c>
      <c r="B206" s="11">
        <v>42941</v>
      </c>
      <c r="C206" s="12">
        <v>25.2</v>
      </c>
      <c r="D206" s="12"/>
      <c r="E206" s="15" t="s">
        <v>17</v>
      </c>
      <c r="I206" s="10"/>
      <c r="K206" s="198"/>
    </row>
    <row r="207" spans="1:11" x14ac:dyDescent="0.2">
      <c r="A207" s="10">
        <v>23619</v>
      </c>
      <c r="B207" s="11">
        <v>42941</v>
      </c>
      <c r="C207" s="12">
        <v>126.65</v>
      </c>
      <c r="D207" s="12">
        <v>9.65</v>
      </c>
      <c r="E207" s="15" t="s">
        <v>11</v>
      </c>
      <c r="F207" s="259"/>
      <c r="G207" s="260"/>
      <c r="H207" s="10"/>
      <c r="I207" s="10"/>
      <c r="K207" s="198"/>
    </row>
    <row r="208" spans="1:11" x14ac:dyDescent="0.2">
      <c r="A208" s="10">
        <v>23620</v>
      </c>
      <c r="B208" s="11">
        <v>42941</v>
      </c>
      <c r="C208" s="12">
        <v>164</v>
      </c>
      <c r="D208" s="12">
        <v>12.5</v>
      </c>
      <c r="E208" s="17"/>
      <c r="I208" s="10"/>
      <c r="K208" s="198"/>
    </row>
    <row r="209" spans="1:11" x14ac:dyDescent="0.2">
      <c r="A209" s="10">
        <v>23621</v>
      </c>
      <c r="B209" s="11">
        <v>42941</v>
      </c>
      <c r="C209" s="12">
        <v>0</v>
      </c>
      <c r="D209" s="12"/>
      <c r="E209" s="13" t="s">
        <v>1144</v>
      </c>
      <c r="F209" s="115"/>
      <c r="G209" s="115"/>
      <c r="I209" s="10"/>
      <c r="K209" s="198"/>
    </row>
    <row r="210" spans="1:11" x14ac:dyDescent="0.2">
      <c r="A210" s="10">
        <v>23622</v>
      </c>
      <c r="B210" s="11">
        <v>42941</v>
      </c>
      <c r="C210" s="12">
        <v>2.2399999999999998</v>
      </c>
      <c r="D210" s="12">
        <v>0.17</v>
      </c>
      <c r="E210" s="17"/>
      <c r="F210" s="261"/>
      <c r="G210" s="262"/>
      <c r="H210" s="12"/>
      <c r="I210" s="10"/>
      <c r="K210" s="198"/>
    </row>
    <row r="211" spans="1:11" x14ac:dyDescent="0.2">
      <c r="A211" s="10">
        <v>23623</v>
      </c>
      <c r="B211" s="11">
        <v>42941</v>
      </c>
      <c r="C211" s="12">
        <v>227.32999999999998</v>
      </c>
      <c r="D211" s="12">
        <v>17.329999999999998</v>
      </c>
      <c r="E211" s="15" t="s">
        <v>1145</v>
      </c>
      <c r="I211" s="10"/>
      <c r="K211" s="198"/>
    </row>
    <row r="212" spans="1:11" x14ac:dyDescent="0.2">
      <c r="A212" s="10">
        <v>23624</v>
      </c>
      <c r="B212" s="11">
        <v>42941</v>
      </c>
      <c r="C212" s="12">
        <v>243</v>
      </c>
      <c r="D212" s="12">
        <v>18.52</v>
      </c>
      <c r="E212" s="13" t="s">
        <v>1146</v>
      </c>
      <c r="F212" s="257">
        <f>+C205+C206+C207+20+23</f>
        <v>220.05</v>
      </c>
      <c r="G212" s="258">
        <f>+F212*0.97831</f>
        <v>215.27711550000001</v>
      </c>
      <c r="H212" s="253"/>
      <c r="I212" s="10"/>
      <c r="K212" s="198"/>
    </row>
    <row r="213" spans="1:11" x14ac:dyDescent="0.2">
      <c r="A213" s="10">
        <v>23625</v>
      </c>
      <c r="B213" s="11">
        <v>42942</v>
      </c>
      <c r="C213" s="12">
        <v>245.73</v>
      </c>
      <c r="D213" s="12">
        <v>18.73</v>
      </c>
      <c r="E213" s="15"/>
      <c r="I213" s="10"/>
      <c r="K213" s="198"/>
    </row>
    <row r="214" spans="1:11" x14ac:dyDescent="0.2">
      <c r="A214" s="10">
        <v>23626</v>
      </c>
      <c r="B214" s="11">
        <v>42942</v>
      </c>
      <c r="C214" s="12">
        <v>86.6</v>
      </c>
      <c r="D214" s="12">
        <v>6.6</v>
      </c>
      <c r="E214" s="15" t="s">
        <v>13</v>
      </c>
      <c r="F214" s="259"/>
      <c r="G214" s="260"/>
      <c r="H214" s="10"/>
      <c r="I214" s="10"/>
      <c r="K214" s="198"/>
    </row>
    <row r="215" spans="1:11" x14ac:dyDescent="0.2">
      <c r="A215" s="10">
        <v>23627</v>
      </c>
      <c r="B215" s="11">
        <v>42942</v>
      </c>
      <c r="C215" s="12">
        <v>212.71</v>
      </c>
      <c r="D215" s="12">
        <v>16.21</v>
      </c>
      <c r="E215" s="15" t="s">
        <v>21</v>
      </c>
      <c r="I215" s="10"/>
      <c r="K215" s="198"/>
    </row>
    <row r="216" spans="1:11" x14ac:dyDescent="0.2">
      <c r="A216" s="10">
        <v>23628</v>
      </c>
      <c r="B216" s="11">
        <v>42942</v>
      </c>
      <c r="C216" s="12">
        <v>50</v>
      </c>
      <c r="D216" s="12">
        <v>3.81</v>
      </c>
      <c r="E216" s="17"/>
      <c r="F216" s="12"/>
      <c r="G216" s="12"/>
      <c r="H216" s="215"/>
      <c r="I216" s="217"/>
      <c r="J216" s="217"/>
      <c r="K216" s="214"/>
    </row>
    <row r="217" spans="1:11" x14ac:dyDescent="0.2">
      <c r="A217" s="10">
        <v>23629</v>
      </c>
      <c r="B217" s="11">
        <v>42942</v>
      </c>
      <c r="C217" s="12">
        <v>39.85</v>
      </c>
      <c r="D217" s="12"/>
      <c r="E217" s="15" t="s">
        <v>1147</v>
      </c>
      <c r="F217" s="10"/>
      <c r="G217" s="10"/>
      <c r="H217" s="212"/>
      <c r="I217" s="212"/>
      <c r="J217" s="217"/>
      <c r="K217" s="214"/>
    </row>
    <row r="218" spans="1:11" x14ac:dyDescent="0.2">
      <c r="A218" s="10">
        <v>23630</v>
      </c>
      <c r="B218" s="11">
        <v>42942</v>
      </c>
      <c r="C218" s="12">
        <v>38.97</v>
      </c>
      <c r="D218" s="12">
        <v>2.97</v>
      </c>
      <c r="E218" s="15" t="s">
        <v>11</v>
      </c>
      <c r="I218" s="212"/>
      <c r="J218" s="217"/>
      <c r="K218" s="214"/>
    </row>
    <row r="219" spans="1:11" x14ac:dyDescent="0.2">
      <c r="A219" s="10">
        <v>23631</v>
      </c>
      <c r="B219" s="11">
        <v>42942</v>
      </c>
      <c r="C219" s="12">
        <v>59.4</v>
      </c>
      <c r="D219" s="12"/>
      <c r="E219" s="15" t="s">
        <v>17</v>
      </c>
      <c r="F219" s="259"/>
      <c r="G219" s="260"/>
      <c r="H219" s="10"/>
      <c r="I219" s="212"/>
      <c r="J219" s="217"/>
      <c r="K219" s="214"/>
    </row>
    <row r="220" spans="1:11" x14ac:dyDescent="0.2">
      <c r="A220" s="10">
        <v>23632</v>
      </c>
      <c r="B220" s="11">
        <v>42942</v>
      </c>
      <c r="C220" s="12">
        <v>29.4</v>
      </c>
      <c r="D220" s="12"/>
      <c r="E220" s="15" t="s">
        <v>17</v>
      </c>
      <c r="I220" s="212"/>
      <c r="J220" s="217"/>
      <c r="K220" s="214"/>
    </row>
    <row r="221" spans="1:11" x14ac:dyDescent="0.2">
      <c r="A221" s="10">
        <v>23633</v>
      </c>
      <c r="B221" s="11">
        <v>42942</v>
      </c>
      <c r="C221" s="12">
        <v>18.399999999999999</v>
      </c>
      <c r="D221" s="12">
        <v>1.4</v>
      </c>
      <c r="E221" s="17"/>
      <c r="F221" s="261"/>
      <c r="G221" s="262"/>
      <c r="H221" s="12"/>
      <c r="I221" s="212"/>
      <c r="J221" s="217"/>
      <c r="K221" s="214"/>
    </row>
    <row r="222" spans="1:11" x14ac:dyDescent="0.2">
      <c r="A222" s="10">
        <v>23634</v>
      </c>
      <c r="B222" s="11">
        <v>42942</v>
      </c>
      <c r="C222" s="12">
        <v>154.80000000000001</v>
      </c>
      <c r="D222" s="12">
        <v>11.8</v>
      </c>
      <c r="E222" s="15" t="s">
        <v>11</v>
      </c>
      <c r="I222" s="212"/>
      <c r="J222" s="217"/>
      <c r="K222" s="214"/>
    </row>
    <row r="223" spans="1:11" x14ac:dyDescent="0.2">
      <c r="A223" s="10">
        <v>23635</v>
      </c>
      <c r="B223" s="11">
        <v>42942</v>
      </c>
      <c r="C223" s="12">
        <v>139</v>
      </c>
      <c r="D223" s="12">
        <v>10.59</v>
      </c>
      <c r="E223" s="17"/>
      <c r="I223" s="212"/>
      <c r="J223" s="217"/>
      <c r="K223" s="214"/>
    </row>
    <row r="224" spans="1:11" x14ac:dyDescent="0.2">
      <c r="A224" s="10">
        <v>23636</v>
      </c>
      <c r="B224" s="11">
        <v>42942</v>
      </c>
      <c r="C224" s="12">
        <v>11.91</v>
      </c>
      <c r="D224" s="12">
        <v>0.91</v>
      </c>
      <c r="E224" s="17"/>
      <c r="I224" s="212"/>
      <c r="J224" s="217"/>
      <c r="K224" s="214"/>
    </row>
    <row r="225" spans="1:11" x14ac:dyDescent="0.2">
      <c r="A225" s="10">
        <v>23637</v>
      </c>
      <c r="B225" s="11">
        <v>42942</v>
      </c>
      <c r="C225" s="12">
        <v>363.72</v>
      </c>
      <c r="D225" s="12">
        <v>27.72</v>
      </c>
      <c r="E225" s="15" t="s">
        <v>1148</v>
      </c>
      <c r="F225" s="257">
        <f>+C214+C218+C217+C222+10</f>
        <v>330.22</v>
      </c>
      <c r="G225" s="258">
        <f>+F225*0.97831</f>
        <v>323.05752820000004</v>
      </c>
      <c r="H225" s="253" t="s">
        <v>1149</v>
      </c>
      <c r="I225" s="212"/>
      <c r="J225" s="217"/>
      <c r="K225" s="214"/>
    </row>
    <row r="226" spans="1:11" x14ac:dyDescent="0.2">
      <c r="A226" s="10">
        <v>23638</v>
      </c>
      <c r="B226" s="11">
        <v>42943</v>
      </c>
      <c r="C226" s="12">
        <v>120</v>
      </c>
      <c r="D226" s="12">
        <v>9.15</v>
      </c>
      <c r="E226" s="15" t="s">
        <v>533</v>
      </c>
      <c r="I226" s="212"/>
      <c r="J226" s="217"/>
      <c r="K226" s="214"/>
    </row>
    <row r="227" spans="1:11" x14ac:dyDescent="0.2">
      <c r="A227" s="10">
        <v>23639</v>
      </c>
      <c r="B227" s="11">
        <v>42943</v>
      </c>
      <c r="C227" s="12">
        <v>46.660000000000004</v>
      </c>
      <c r="D227" s="12">
        <v>3.56</v>
      </c>
      <c r="E227" s="15" t="s">
        <v>533</v>
      </c>
      <c r="I227" s="212"/>
      <c r="J227" s="217"/>
      <c r="K227" s="214"/>
    </row>
    <row r="228" spans="1:11" x14ac:dyDescent="0.2">
      <c r="A228" s="10">
        <v>23640</v>
      </c>
      <c r="B228" s="11">
        <v>42943</v>
      </c>
      <c r="C228" s="12">
        <v>117.99</v>
      </c>
      <c r="D228" s="12">
        <v>8.99</v>
      </c>
      <c r="E228" s="15" t="s">
        <v>533</v>
      </c>
      <c r="I228" s="212"/>
      <c r="J228" s="217"/>
      <c r="K228" s="214"/>
    </row>
    <row r="229" spans="1:11" x14ac:dyDescent="0.2">
      <c r="A229" s="10">
        <v>23641</v>
      </c>
      <c r="B229" s="11">
        <v>42943</v>
      </c>
      <c r="C229" s="12">
        <v>37.35</v>
      </c>
      <c r="D229" s="12">
        <v>2.85</v>
      </c>
      <c r="E229" s="17"/>
      <c r="F229" s="261"/>
      <c r="G229" s="262"/>
      <c r="H229" s="12"/>
      <c r="I229" s="212"/>
      <c r="J229" s="217"/>
      <c r="K229" s="214"/>
    </row>
    <row r="230" spans="1:11" x14ac:dyDescent="0.2">
      <c r="A230" s="10">
        <v>23642</v>
      </c>
      <c r="B230" s="11">
        <v>42943</v>
      </c>
      <c r="C230" s="12">
        <v>123.13</v>
      </c>
      <c r="D230" s="12">
        <v>9.3800000000000008</v>
      </c>
      <c r="E230" s="15" t="s">
        <v>1150</v>
      </c>
      <c r="I230" s="212"/>
      <c r="J230" s="217"/>
      <c r="K230" s="214"/>
    </row>
    <row r="231" spans="1:11" x14ac:dyDescent="0.2">
      <c r="A231" s="10">
        <v>23643</v>
      </c>
      <c r="B231" s="11">
        <v>42943</v>
      </c>
      <c r="C231" s="12">
        <v>43.3</v>
      </c>
      <c r="D231" s="12">
        <v>3.3</v>
      </c>
      <c r="E231" s="15" t="s">
        <v>21</v>
      </c>
      <c r="I231" s="212"/>
      <c r="J231" s="217"/>
      <c r="K231" s="214"/>
    </row>
    <row r="232" spans="1:11" x14ac:dyDescent="0.2">
      <c r="A232" s="10">
        <v>23644</v>
      </c>
      <c r="B232" s="11">
        <v>42943</v>
      </c>
      <c r="C232" s="12">
        <v>28.15</v>
      </c>
      <c r="D232" s="12">
        <v>2.15</v>
      </c>
      <c r="E232" s="15" t="s">
        <v>533</v>
      </c>
      <c r="F232" s="257">
        <f>200+C219+C220</f>
        <v>288.79999999999995</v>
      </c>
      <c r="G232" s="258">
        <f>+F232*0.97831</f>
        <v>282.53592799999996</v>
      </c>
      <c r="H232" s="253" t="s">
        <v>1151</v>
      </c>
      <c r="I232" s="212"/>
      <c r="J232" s="217"/>
      <c r="K232" s="214"/>
    </row>
    <row r="233" spans="1:11" x14ac:dyDescent="0.2">
      <c r="A233" s="10">
        <v>23645</v>
      </c>
      <c r="B233" s="11">
        <v>42944</v>
      </c>
      <c r="C233" s="12">
        <v>37.020000000000003</v>
      </c>
      <c r="D233" s="12">
        <v>2.82</v>
      </c>
      <c r="E233" s="15" t="s">
        <v>21</v>
      </c>
      <c r="I233" s="212"/>
      <c r="J233" s="217"/>
      <c r="K233" s="214"/>
    </row>
    <row r="234" spans="1:11" x14ac:dyDescent="0.2">
      <c r="A234" s="10">
        <v>23646</v>
      </c>
      <c r="B234" s="11">
        <v>42944</v>
      </c>
      <c r="C234" s="12">
        <v>96</v>
      </c>
      <c r="D234" s="12"/>
      <c r="E234" s="15" t="s">
        <v>1152</v>
      </c>
      <c r="F234" s="259"/>
      <c r="G234" s="260"/>
      <c r="H234" s="10"/>
      <c r="I234" s="212"/>
      <c r="J234" s="217"/>
      <c r="K234" s="214"/>
    </row>
    <row r="235" spans="1:11" x14ac:dyDescent="0.2">
      <c r="A235" s="10">
        <v>23647</v>
      </c>
      <c r="B235" s="11">
        <v>42944</v>
      </c>
      <c r="C235" s="12">
        <v>231.11</v>
      </c>
      <c r="D235" s="12">
        <v>17.61</v>
      </c>
      <c r="E235" s="13" t="s">
        <v>1153</v>
      </c>
      <c r="I235" s="212"/>
      <c r="J235" s="217"/>
      <c r="K235" s="214"/>
    </row>
    <row r="236" spans="1:11" x14ac:dyDescent="0.2">
      <c r="A236" s="10">
        <v>23648</v>
      </c>
      <c r="B236" s="11">
        <v>42944</v>
      </c>
      <c r="C236" s="12">
        <v>13.08</v>
      </c>
      <c r="D236" s="12"/>
      <c r="E236" s="15" t="s">
        <v>11</v>
      </c>
      <c r="F236" s="259"/>
      <c r="G236" s="260"/>
      <c r="H236" s="10"/>
      <c r="I236" s="212"/>
      <c r="J236" s="217"/>
      <c r="K236" s="214"/>
    </row>
    <row r="237" spans="1:11" x14ac:dyDescent="0.2">
      <c r="A237" s="10">
        <v>23649</v>
      </c>
      <c r="B237" s="11">
        <v>42944</v>
      </c>
      <c r="C237" s="12">
        <v>51.96</v>
      </c>
      <c r="D237" s="12">
        <v>3.96</v>
      </c>
      <c r="E237" s="15" t="s">
        <v>11</v>
      </c>
      <c r="I237" s="212"/>
      <c r="J237" s="217"/>
      <c r="K237" s="214"/>
    </row>
    <row r="238" spans="1:11" x14ac:dyDescent="0.2">
      <c r="A238" s="10">
        <v>23650</v>
      </c>
      <c r="B238" s="11">
        <v>42944</v>
      </c>
      <c r="C238" s="12">
        <v>150</v>
      </c>
      <c r="D238" s="12">
        <v>11.43</v>
      </c>
      <c r="E238" s="15" t="s">
        <v>11</v>
      </c>
      <c r="I238" s="212"/>
      <c r="J238" s="217"/>
      <c r="K238" s="214"/>
    </row>
    <row r="239" spans="1:11" x14ac:dyDescent="0.2">
      <c r="A239" s="10">
        <v>23651</v>
      </c>
      <c r="B239" s="11">
        <v>42944</v>
      </c>
      <c r="C239" s="12">
        <v>117.45</v>
      </c>
      <c r="D239" s="12">
        <v>8.9499999999999993</v>
      </c>
      <c r="E239" s="15" t="s">
        <v>11</v>
      </c>
      <c r="F239" s="259"/>
      <c r="G239" s="260"/>
      <c r="H239" s="10"/>
      <c r="I239" s="212"/>
      <c r="J239" s="217"/>
      <c r="K239" s="214"/>
    </row>
    <row r="240" spans="1:11" x14ac:dyDescent="0.2">
      <c r="A240" s="10">
        <v>23652</v>
      </c>
      <c r="B240" s="11">
        <v>42944</v>
      </c>
      <c r="C240" s="12">
        <v>10</v>
      </c>
      <c r="D240" s="12">
        <v>0.76</v>
      </c>
      <c r="E240" s="13"/>
      <c r="F240" s="261"/>
      <c r="G240" s="262"/>
      <c r="H240" s="12"/>
      <c r="I240" s="212"/>
      <c r="J240" s="217"/>
      <c r="K240" s="214"/>
    </row>
    <row r="241" spans="1:11" x14ac:dyDescent="0.2">
      <c r="A241" s="10">
        <v>23653</v>
      </c>
      <c r="B241" s="11">
        <v>42944</v>
      </c>
      <c r="C241" s="12">
        <v>37.89</v>
      </c>
      <c r="D241" s="12">
        <v>2.89</v>
      </c>
      <c r="E241" s="15" t="s">
        <v>11</v>
      </c>
      <c r="I241" s="212"/>
      <c r="J241" s="217"/>
      <c r="K241" s="214"/>
    </row>
    <row r="242" spans="1:11" x14ac:dyDescent="0.2">
      <c r="A242" s="10">
        <v>23654</v>
      </c>
      <c r="B242" s="11">
        <v>42944</v>
      </c>
      <c r="C242" s="12">
        <v>74.69</v>
      </c>
      <c r="D242" s="12">
        <v>5.69</v>
      </c>
      <c r="E242" s="15" t="s">
        <v>7</v>
      </c>
      <c r="I242" s="212"/>
      <c r="J242" s="217"/>
      <c r="K242" s="214"/>
    </row>
    <row r="243" spans="1:11" x14ac:dyDescent="0.2">
      <c r="A243" s="10">
        <v>23655</v>
      </c>
      <c r="B243" s="11">
        <v>42944</v>
      </c>
      <c r="C243" s="12">
        <v>119.08</v>
      </c>
      <c r="D243" s="12">
        <v>9.08</v>
      </c>
      <c r="E243" s="17"/>
      <c r="F243" s="257">
        <f>+C236+C237+C238+C239+C241+C242</f>
        <v>445.07</v>
      </c>
      <c r="G243" s="258">
        <f>+F243*0.97831</f>
        <v>435.41643169999998</v>
      </c>
      <c r="H243" s="253"/>
      <c r="I243" s="212"/>
      <c r="J243" s="217"/>
      <c r="K243" s="214"/>
    </row>
    <row r="244" spans="1:11" x14ac:dyDescent="0.2">
      <c r="A244" s="10">
        <v>23656</v>
      </c>
      <c r="B244" s="11">
        <v>42945</v>
      </c>
      <c r="C244" s="12">
        <v>13.3</v>
      </c>
      <c r="D244" s="12"/>
      <c r="E244" s="15" t="s">
        <v>1147</v>
      </c>
      <c r="F244" s="259"/>
      <c r="G244" s="260"/>
      <c r="H244" s="10"/>
      <c r="I244" s="212"/>
      <c r="J244" s="217"/>
      <c r="K244" s="214"/>
    </row>
    <row r="245" spans="1:11" x14ac:dyDescent="0.2">
      <c r="A245" s="10">
        <v>23657</v>
      </c>
      <c r="B245" s="11">
        <v>42945</v>
      </c>
      <c r="C245" s="12">
        <v>13.479999999999999</v>
      </c>
      <c r="D245" s="12">
        <v>1.03</v>
      </c>
      <c r="E245" s="13"/>
      <c r="F245" s="261"/>
      <c r="G245" s="262"/>
      <c r="H245" s="12"/>
      <c r="I245" s="212"/>
      <c r="J245" s="217"/>
      <c r="K245" s="214"/>
    </row>
    <row r="246" spans="1:11" x14ac:dyDescent="0.2">
      <c r="A246" s="10">
        <v>23658</v>
      </c>
      <c r="B246" s="11">
        <v>42945</v>
      </c>
      <c r="C246" s="12">
        <v>211.09</v>
      </c>
      <c r="D246" s="12">
        <v>16.09</v>
      </c>
      <c r="E246" s="15" t="s">
        <v>11</v>
      </c>
      <c r="I246" s="212"/>
      <c r="J246" s="217"/>
      <c r="K246" s="214"/>
    </row>
    <row r="247" spans="1:11" x14ac:dyDescent="0.2">
      <c r="A247" s="10">
        <v>23659</v>
      </c>
      <c r="B247" s="11">
        <v>42945</v>
      </c>
      <c r="C247" s="12">
        <v>23.82</v>
      </c>
      <c r="D247" s="12">
        <v>1.82</v>
      </c>
      <c r="E247" s="15" t="s">
        <v>533</v>
      </c>
      <c r="I247" s="212"/>
      <c r="J247" s="217"/>
      <c r="K247" s="214"/>
    </row>
    <row r="248" spans="1:11" x14ac:dyDescent="0.2">
      <c r="A248" s="10">
        <v>23660</v>
      </c>
      <c r="B248" s="11">
        <v>42945</v>
      </c>
      <c r="C248" s="12">
        <v>64</v>
      </c>
      <c r="D248" s="12">
        <v>4.88</v>
      </c>
      <c r="E248" s="17"/>
      <c r="I248" s="212"/>
      <c r="J248" s="217"/>
      <c r="K248" s="214"/>
    </row>
    <row r="249" spans="1:11" x14ac:dyDescent="0.2">
      <c r="A249" s="10">
        <v>23661</v>
      </c>
      <c r="B249" s="11">
        <v>42945</v>
      </c>
      <c r="C249" s="12">
        <v>166.71</v>
      </c>
      <c r="D249" s="12">
        <v>12.71</v>
      </c>
      <c r="E249" s="15" t="s">
        <v>533</v>
      </c>
      <c r="I249" s="212"/>
      <c r="J249" s="217"/>
      <c r="K249" s="214"/>
    </row>
    <row r="250" spans="1:11" x14ac:dyDescent="0.2">
      <c r="A250" s="10">
        <v>23662</v>
      </c>
      <c r="B250" s="11">
        <v>42945</v>
      </c>
      <c r="C250" s="12">
        <v>35.72</v>
      </c>
      <c r="D250" s="12">
        <v>2.72</v>
      </c>
      <c r="E250" s="15" t="s">
        <v>533</v>
      </c>
      <c r="F250" s="259"/>
      <c r="G250" s="260"/>
      <c r="H250" s="10"/>
      <c r="I250" s="212"/>
      <c r="J250" s="217"/>
      <c r="K250" s="214"/>
    </row>
    <row r="251" spans="1:11" x14ac:dyDescent="0.2">
      <c r="A251" s="10">
        <v>23663</v>
      </c>
      <c r="B251" s="11">
        <v>42945</v>
      </c>
      <c r="C251" s="12">
        <v>197</v>
      </c>
      <c r="D251" s="12">
        <v>15.01</v>
      </c>
      <c r="E251" s="13" t="s">
        <v>1154</v>
      </c>
      <c r="F251" s="261"/>
      <c r="G251" s="262"/>
      <c r="H251" s="12"/>
      <c r="I251" s="212"/>
      <c r="J251" s="217"/>
      <c r="K251" s="214"/>
    </row>
    <row r="252" spans="1:11" x14ac:dyDescent="0.2">
      <c r="A252" s="10">
        <v>23664</v>
      </c>
      <c r="B252" s="11">
        <v>42945</v>
      </c>
      <c r="C252" s="12">
        <v>158.05000000000001</v>
      </c>
      <c r="D252" s="12">
        <v>12.05</v>
      </c>
      <c r="E252" s="15" t="s">
        <v>533</v>
      </c>
      <c r="I252" s="212"/>
      <c r="J252" s="217"/>
      <c r="K252" s="214"/>
    </row>
    <row r="253" spans="1:11" x14ac:dyDescent="0.2">
      <c r="A253" s="10">
        <v>23665</v>
      </c>
      <c r="B253" s="11">
        <v>42945</v>
      </c>
      <c r="C253" s="12">
        <v>21.599999999999998</v>
      </c>
      <c r="D253" s="12">
        <v>1.65</v>
      </c>
      <c r="E253" s="17"/>
      <c r="I253" s="212"/>
      <c r="J253" s="217"/>
      <c r="K253" s="214"/>
    </row>
    <row r="254" spans="1:11" x14ac:dyDescent="0.2">
      <c r="A254" s="10">
        <v>23666</v>
      </c>
      <c r="B254" s="11">
        <v>42945</v>
      </c>
      <c r="C254" s="12">
        <v>56.29</v>
      </c>
      <c r="D254" s="12">
        <v>4.29</v>
      </c>
      <c r="E254" s="15" t="s">
        <v>533</v>
      </c>
      <c r="F254" s="259"/>
      <c r="G254" s="260"/>
      <c r="H254" s="10"/>
      <c r="I254" s="212"/>
      <c r="J254" s="217"/>
      <c r="K254" s="214"/>
    </row>
    <row r="255" spans="1:11" x14ac:dyDescent="0.2">
      <c r="A255" s="10">
        <v>23667</v>
      </c>
      <c r="B255" s="11">
        <v>42945</v>
      </c>
      <c r="C255" s="12">
        <v>58.5</v>
      </c>
      <c r="D255" s="12"/>
      <c r="E255" s="13" t="s">
        <v>869</v>
      </c>
      <c r="I255" s="212"/>
      <c r="J255" s="217"/>
      <c r="K255" s="214"/>
    </row>
    <row r="256" spans="1:11" x14ac:dyDescent="0.2">
      <c r="A256" s="10">
        <v>23668</v>
      </c>
      <c r="B256" s="11">
        <v>42945</v>
      </c>
      <c r="C256" s="12">
        <v>24.99</v>
      </c>
      <c r="D256" s="12">
        <v>1.9</v>
      </c>
      <c r="E256" s="15" t="s">
        <v>533</v>
      </c>
      <c r="F256" s="257">
        <f>+C244+C246</f>
        <v>224.39000000000001</v>
      </c>
      <c r="G256" s="258">
        <f>+F256*0.97831</f>
        <v>219.52298090000002</v>
      </c>
      <c r="H256" s="253" t="s">
        <v>1155</v>
      </c>
      <c r="I256" s="212"/>
      <c r="J256" s="217"/>
      <c r="K256" s="214"/>
    </row>
    <row r="257" spans="1:11" x14ac:dyDescent="0.2">
      <c r="A257" s="10">
        <v>23669</v>
      </c>
      <c r="B257" s="11">
        <v>42947</v>
      </c>
      <c r="C257" s="12">
        <v>233.82</v>
      </c>
      <c r="D257" s="12">
        <v>17.82</v>
      </c>
      <c r="E257" s="17"/>
      <c r="I257" s="212"/>
      <c r="J257" s="217"/>
      <c r="K257" s="214"/>
    </row>
    <row r="258" spans="1:11" x14ac:dyDescent="0.2">
      <c r="A258" s="10">
        <v>23670</v>
      </c>
      <c r="B258" s="11">
        <v>42947</v>
      </c>
      <c r="C258" s="12">
        <v>92.01</v>
      </c>
      <c r="D258" s="12">
        <v>7.01</v>
      </c>
      <c r="E258" s="15" t="s">
        <v>11</v>
      </c>
      <c r="I258" s="212"/>
      <c r="J258" s="217"/>
      <c r="K258" s="214"/>
    </row>
    <row r="259" spans="1:11" x14ac:dyDescent="0.2">
      <c r="A259" s="10">
        <v>23671</v>
      </c>
      <c r="B259" s="11">
        <v>42947</v>
      </c>
      <c r="C259" s="12">
        <v>15.84</v>
      </c>
      <c r="D259" s="12"/>
      <c r="E259" s="15" t="s">
        <v>279</v>
      </c>
      <c r="F259" s="259"/>
      <c r="G259" s="260"/>
      <c r="H259" s="10"/>
      <c r="I259" s="212"/>
      <c r="J259" s="217"/>
      <c r="K259" s="214"/>
    </row>
    <row r="260" spans="1:11" x14ac:dyDescent="0.2">
      <c r="A260" s="10">
        <v>23672</v>
      </c>
      <c r="B260" s="11">
        <v>42947</v>
      </c>
      <c r="C260" s="12">
        <v>93.820000000000007</v>
      </c>
      <c r="D260" s="12">
        <v>7.15</v>
      </c>
      <c r="E260" s="15" t="s">
        <v>11</v>
      </c>
      <c r="I260" s="212"/>
      <c r="J260" s="217"/>
      <c r="K260" s="214"/>
    </row>
    <row r="261" spans="1:11" x14ac:dyDescent="0.2">
      <c r="A261" s="10">
        <v>23673</v>
      </c>
      <c r="B261" s="11">
        <v>42947</v>
      </c>
      <c r="C261" s="12">
        <v>277.66000000000003</v>
      </c>
      <c r="D261" s="12">
        <v>21.16</v>
      </c>
      <c r="E261" s="15" t="s">
        <v>1156</v>
      </c>
      <c r="I261" s="212"/>
      <c r="J261" s="217"/>
      <c r="K261" s="214"/>
    </row>
    <row r="262" spans="1:11" x14ac:dyDescent="0.2">
      <c r="A262" s="10">
        <v>23674</v>
      </c>
      <c r="B262" s="11">
        <v>42947</v>
      </c>
      <c r="C262" s="12">
        <v>213.14</v>
      </c>
      <c r="D262" s="12">
        <v>16.239999999999998</v>
      </c>
      <c r="E262" s="13" t="s">
        <v>1076</v>
      </c>
      <c r="F262" s="261"/>
      <c r="G262" s="262"/>
      <c r="H262" s="12"/>
      <c r="I262" s="212"/>
      <c r="J262" s="217"/>
      <c r="K262" s="214"/>
    </row>
    <row r="263" spans="1:11" x14ac:dyDescent="0.2">
      <c r="A263" s="10">
        <v>23675</v>
      </c>
      <c r="B263" s="11">
        <v>42947</v>
      </c>
      <c r="C263" s="12">
        <v>322.58999999999997</v>
      </c>
      <c r="D263" s="12">
        <v>24.59</v>
      </c>
      <c r="E263" s="15" t="s">
        <v>1157</v>
      </c>
      <c r="I263" s="212"/>
      <c r="J263" s="217"/>
      <c r="K263" s="214"/>
    </row>
    <row r="264" spans="1:11" x14ac:dyDescent="0.2">
      <c r="A264" s="10">
        <v>23676</v>
      </c>
      <c r="B264" s="11">
        <v>42947</v>
      </c>
      <c r="C264" s="12">
        <v>36.5</v>
      </c>
      <c r="D264" s="12">
        <v>2.78</v>
      </c>
      <c r="E264" s="15" t="s">
        <v>11</v>
      </c>
      <c r="I264" s="212"/>
      <c r="J264" s="217"/>
      <c r="K264" s="214"/>
    </row>
    <row r="265" spans="1:11" x14ac:dyDescent="0.2">
      <c r="A265" s="10">
        <v>23677</v>
      </c>
      <c r="B265" s="11">
        <v>42947</v>
      </c>
      <c r="C265" s="12">
        <v>80</v>
      </c>
      <c r="D265" s="12">
        <v>6.1</v>
      </c>
      <c r="E265" s="15" t="s">
        <v>21</v>
      </c>
      <c r="F265" s="257">
        <f>+C258+C260+75+40+C264</f>
        <v>337.33000000000004</v>
      </c>
      <c r="G265" s="258">
        <f>+F265*0.97831</f>
        <v>330.01331230000005</v>
      </c>
      <c r="H265" s="253" t="s">
        <v>942</v>
      </c>
      <c r="I265" s="212"/>
      <c r="J265" s="217"/>
      <c r="K265" s="214"/>
    </row>
    <row r="266" spans="1:11" x14ac:dyDescent="0.2">
      <c r="E266" s="15"/>
      <c r="H266" s="77"/>
      <c r="I266" s="77"/>
      <c r="J266" s="77"/>
      <c r="K266" s="77"/>
    </row>
    <row r="267" spans="1:11" x14ac:dyDescent="0.2">
      <c r="E267" s="26"/>
      <c r="G267" s="77"/>
      <c r="H267" s="207"/>
      <c r="I267" s="219"/>
      <c r="J267" s="220"/>
      <c r="K267" s="80"/>
    </row>
    <row r="268" spans="1:11" x14ac:dyDescent="0.2">
      <c r="E268" s="26"/>
      <c r="G268" s="77"/>
      <c r="H268" s="208"/>
      <c r="I268" s="219"/>
      <c r="J268" s="220"/>
      <c r="K268" s="80"/>
    </row>
    <row r="269" spans="1:11" x14ac:dyDescent="0.2">
      <c r="E269" s="26"/>
      <c r="G269" s="77"/>
      <c r="H269" s="208"/>
      <c r="I269" s="219"/>
      <c r="J269" s="220"/>
      <c r="K269" s="80"/>
    </row>
    <row r="270" spans="1:11" x14ac:dyDescent="0.2">
      <c r="E270" s="26"/>
      <c r="G270" s="77"/>
      <c r="H270" s="207"/>
      <c r="I270" s="219"/>
      <c r="J270" s="220"/>
      <c r="K270" s="77"/>
    </row>
    <row r="271" spans="1:11" x14ac:dyDescent="0.2">
      <c r="E271" s="26"/>
      <c r="G271" s="77"/>
      <c r="H271" s="207"/>
      <c r="I271" s="219"/>
      <c r="J271" s="220"/>
      <c r="K271" s="77"/>
    </row>
    <row r="272" spans="1:11" x14ac:dyDescent="0.2">
      <c r="E272" s="26"/>
      <c r="G272" s="77"/>
      <c r="H272" s="208"/>
      <c r="I272" s="219"/>
      <c r="J272" s="220"/>
      <c r="K272" s="77"/>
    </row>
    <row r="273" spans="5:11" x14ac:dyDescent="0.2">
      <c r="E273" s="26"/>
      <c r="G273" s="77"/>
      <c r="H273" s="208"/>
      <c r="I273" s="219"/>
      <c r="J273" s="220"/>
      <c r="K273" s="220"/>
    </row>
    <row r="274" spans="5:11" x14ac:dyDescent="0.2">
      <c r="E274" s="26"/>
      <c r="G274" s="77"/>
      <c r="H274" s="207"/>
      <c r="I274" s="219"/>
      <c r="J274" s="220"/>
      <c r="K274" s="220"/>
    </row>
    <row r="275" spans="5:11" x14ac:dyDescent="0.2">
      <c r="E275" s="26"/>
      <c r="G275" s="77"/>
      <c r="H275" s="208"/>
      <c r="I275" s="219"/>
      <c r="J275" s="220"/>
      <c r="K275" s="220"/>
    </row>
    <row r="276" spans="5:11" x14ac:dyDescent="0.2">
      <c r="E276" s="26"/>
      <c r="G276" s="77"/>
      <c r="H276" s="208"/>
      <c r="I276" s="219"/>
      <c r="J276" s="220"/>
      <c r="K276" s="220"/>
    </row>
    <row r="277" spans="5:11" x14ac:dyDescent="0.2">
      <c r="E277" s="26"/>
      <c r="G277" s="77"/>
      <c r="H277" s="208"/>
      <c r="I277" s="219"/>
      <c r="J277" s="220"/>
      <c r="K277" s="220"/>
    </row>
    <row r="278" spans="5:11" x14ac:dyDescent="0.2">
      <c r="E278" s="26"/>
      <c r="G278" s="77"/>
      <c r="H278" s="208"/>
      <c r="I278" s="219"/>
      <c r="J278" s="220"/>
      <c r="K278" s="220"/>
    </row>
    <row r="279" spans="5:11" x14ac:dyDescent="0.2">
      <c r="E279" s="26"/>
      <c r="G279" s="77"/>
      <c r="H279" s="208"/>
      <c r="I279" s="219"/>
      <c r="J279" s="220"/>
      <c r="K279" s="220"/>
    </row>
    <row r="280" spans="5:11" x14ac:dyDescent="0.2">
      <c r="E280" s="26"/>
      <c r="G280" s="77"/>
      <c r="H280" s="215"/>
      <c r="I280" s="213">
        <f t="shared" ref="I280" si="0">I279+1</f>
        <v>1</v>
      </c>
      <c r="J280" s="214" t="e">
        <f t="shared" ref="J280" ca="1" si="1">SUMIF(INDIRECT(TEXT(I280,"'mmm-yy'")&amp;"!B3:B400"),I280,INDIRECT(TEXT(I280,"'mmm-yy'")&amp;"!C3:C400"))</f>
        <v>#REF!</v>
      </c>
      <c r="K280" s="214" t="e">
        <f ca="1">SUM(J274:J280)</f>
        <v>#REF!</v>
      </c>
    </row>
    <row r="281" spans="5:11" x14ac:dyDescent="0.2">
      <c r="E281" s="26"/>
      <c r="G281" s="77"/>
      <c r="H281" s="216"/>
      <c r="I281" s="217"/>
      <c r="J281" s="217"/>
      <c r="K281" s="184"/>
    </row>
    <row r="282" spans="5:11" x14ac:dyDescent="0.2">
      <c r="E282" s="26"/>
      <c r="G282" s="77"/>
      <c r="H282" s="216"/>
      <c r="I282" s="217"/>
      <c r="J282" s="217"/>
      <c r="K282" s="184"/>
    </row>
    <row r="283" spans="5:11" x14ac:dyDescent="0.2">
      <c r="E283" s="26"/>
      <c r="G283" s="77"/>
      <c r="H283" s="216"/>
      <c r="I283" s="217"/>
      <c r="J283" s="217"/>
      <c r="K283" s="184"/>
    </row>
    <row r="284" spans="5:11" x14ac:dyDescent="0.2">
      <c r="E284" s="26"/>
      <c r="G284" s="77"/>
      <c r="H284" s="199"/>
      <c r="I284" s="184"/>
      <c r="J284" s="184"/>
      <c r="K284" s="184"/>
    </row>
    <row r="285" spans="5:11" x14ac:dyDescent="0.2">
      <c r="E285" s="26"/>
      <c r="G285" s="77"/>
      <c r="H285" s="85"/>
      <c r="I285" s="77"/>
      <c r="J285" s="77"/>
      <c r="K285" s="77"/>
    </row>
    <row r="286" spans="5:11" x14ac:dyDescent="0.2">
      <c r="E286" s="26"/>
    </row>
    <row r="287" spans="5:11" x14ac:dyDescent="0.2">
      <c r="E287" s="26"/>
    </row>
    <row r="288" spans="5:11" x14ac:dyDescent="0.2">
      <c r="E288" s="26"/>
    </row>
    <row r="289" spans="1:10" x14ac:dyDescent="0.2">
      <c r="E289" s="26"/>
    </row>
    <row r="290" spans="1:10" x14ac:dyDescent="0.2">
      <c r="E290" s="26"/>
    </row>
    <row r="291" spans="1:10" x14ac:dyDescent="0.2">
      <c r="E291" s="26"/>
    </row>
    <row r="292" spans="1:10" x14ac:dyDescent="0.2">
      <c r="E292" s="26"/>
    </row>
    <row r="293" spans="1:10" x14ac:dyDescent="0.2">
      <c r="E293" s="26"/>
    </row>
    <row r="294" spans="1:10" x14ac:dyDescent="0.2">
      <c r="E294" s="26"/>
    </row>
    <row r="295" spans="1:10" x14ac:dyDescent="0.2">
      <c r="E295" s="26"/>
    </row>
    <row r="296" spans="1:10" x14ac:dyDescent="0.2">
      <c r="E296" s="26"/>
    </row>
    <row r="297" spans="1:10" x14ac:dyDescent="0.2">
      <c r="E297" s="26"/>
    </row>
    <row r="298" spans="1:10" s="29" customFormat="1" x14ac:dyDescent="0.2">
      <c r="A298" s="4"/>
      <c r="B298" s="11"/>
      <c r="C298" s="25"/>
      <c r="D298" s="4"/>
      <c r="E298" s="26"/>
      <c r="F298" s="4"/>
      <c r="G298" s="4"/>
      <c r="H298" s="25"/>
      <c r="I298" s="4"/>
      <c r="J298" s="4"/>
    </row>
    <row r="299" spans="1:10" s="29" customFormat="1" x14ac:dyDescent="0.2">
      <c r="A299" s="4"/>
      <c r="B299" s="11"/>
      <c r="C299" s="25"/>
      <c r="D299" s="4"/>
      <c r="E299" s="26"/>
      <c r="F299" s="4"/>
      <c r="G299" s="4"/>
      <c r="H299" s="25"/>
      <c r="I299" s="4"/>
      <c r="J299" s="4"/>
    </row>
    <row r="300" spans="1:10" x14ac:dyDescent="0.2">
      <c r="E300" s="26"/>
    </row>
    <row r="301" spans="1:10" x14ac:dyDescent="0.2">
      <c r="E301" s="26"/>
    </row>
    <row r="302" spans="1:10" x14ac:dyDescent="0.2">
      <c r="E302" s="26"/>
    </row>
    <row r="303" spans="1:10" x14ac:dyDescent="0.2">
      <c r="E303" s="26"/>
    </row>
    <row r="304" spans="1:10" x14ac:dyDescent="0.2">
      <c r="A304" s="29"/>
      <c r="B304" s="30"/>
      <c r="C304" s="31"/>
      <c r="D304" s="29"/>
      <c r="E304" s="32"/>
      <c r="F304" s="29"/>
      <c r="G304" s="29"/>
      <c r="H304" s="31"/>
      <c r="I304" s="29"/>
      <c r="J304" s="29"/>
    </row>
    <row r="305" spans="1:10" x14ac:dyDescent="0.2">
      <c r="A305" s="29"/>
      <c r="B305" s="30"/>
      <c r="C305" s="31"/>
      <c r="D305" s="29"/>
      <c r="E305" s="32"/>
      <c r="F305" s="29"/>
      <c r="G305" s="29"/>
      <c r="H305" s="31"/>
      <c r="I305" s="29"/>
      <c r="J305" s="29"/>
    </row>
    <row r="306" spans="1:10" x14ac:dyDescent="0.2">
      <c r="E306" s="26"/>
    </row>
    <row r="307" spans="1:10" x14ac:dyDescent="0.2">
      <c r="E307" s="26"/>
    </row>
    <row r="308" spans="1:10" x14ac:dyDescent="0.2">
      <c r="E308" s="26"/>
    </row>
    <row r="309" spans="1:10" x14ac:dyDescent="0.2">
      <c r="E309" s="26"/>
    </row>
    <row r="310" spans="1:10" x14ac:dyDescent="0.2">
      <c r="E310" s="26"/>
    </row>
    <row r="311" spans="1:10" x14ac:dyDescent="0.2">
      <c r="E311" s="26"/>
    </row>
    <row r="312" spans="1:10" x14ac:dyDescent="0.2">
      <c r="E312" s="26"/>
    </row>
    <row r="313" spans="1:10" x14ac:dyDescent="0.2">
      <c r="E313" s="26"/>
    </row>
    <row r="314" spans="1:10" x14ac:dyDescent="0.2">
      <c r="E314" s="26"/>
    </row>
    <row r="315" spans="1:10" x14ac:dyDescent="0.2">
      <c r="E315" s="26"/>
    </row>
    <row r="316" spans="1:10" x14ac:dyDescent="0.2">
      <c r="E316" s="26"/>
    </row>
    <row r="317" spans="1:10" x14ac:dyDescent="0.2">
      <c r="E317" s="26"/>
    </row>
    <row r="318" spans="1:10" x14ac:dyDescent="0.2">
      <c r="E318" s="26"/>
    </row>
    <row r="319" spans="1:10" x14ac:dyDescent="0.2">
      <c r="E319" s="26"/>
    </row>
    <row r="320" spans="1:10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3271"/>
  <sheetViews>
    <sheetView topLeftCell="A209" workbookViewId="0">
      <selection activeCell="A254" sqref="A254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60" t="s">
        <v>0</v>
      </c>
      <c r="B1" s="2"/>
      <c r="C1" s="3">
        <f>SUM(C3:C453)</f>
        <v>25679.559525000001</v>
      </c>
      <c r="D1" s="3">
        <f>SUM(D3:D453)</f>
        <v>1574.6695250000005</v>
      </c>
      <c r="F1" s="4">
        <f>SUM(F3:F254)</f>
        <v>12756.150000000001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17534</v>
      </c>
      <c r="B3" s="11">
        <v>42248</v>
      </c>
      <c r="C3" s="12">
        <v>54.13</v>
      </c>
      <c r="D3" s="12">
        <v>4.13</v>
      </c>
      <c r="E3" s="15" t="s">
        <v>11</v>
      </c>
      <c r="H3" s="10"/>
      <c r="I3" s="10"/>
    </row>
    <row r="4" spans="1:10" x14ac:dyDescent="0.2">
      <c r="A4" s="10">
        <v>17535</v>
      </c>
      <c r="B4" s="11">
        <v>42248</v>
      </c>
      <c r="C4" s="12">
        <v>-21.65</v>
      </c>
      <c r="D4" s="12">
        <v>-1.65</v>
      </c>
      <c r="E4" s="15" t="s">
        <v>11</v>
      </c>
      <c r="F4" s="21"/>
      <c r="G4" s="22"/>
      <c r="H4" s="10"/>
      <c r="I4" s="10"/>
    </row>
    <row r="5" spans="1:10" x14ac:dyDescent="0.2">
      <c r="A5" s="10">
        <v>17536</v>
      </c>
      <c r="B5" s="11">
        <v>42248</v>
      </c>
      <c r="C5" s="12">
        <v>14.02</v>
      </c>
      <c r="D5" s="12">
        <v>1.07</v>
      </c>
      <c r="E5" s="17"/>
      <c r="H5" s="12"/>
      <c r="I5" s="10"/>
    </row>
    <row r="6" spans="1:10" x14ac:dyDescent="0.2">
      <c r="A6" s="10">
        <v>17537</v>
      </c>
      <c r="B6" s="11">
        <v>42248</v>
      </c>
      <c r="C6" s="12">
        <v>211.09</v>
      </c>
      <c r="D6" s="12">
        <v>16.09</v>
      </c>
      <c r="E6" s="15" t="s">
        <v>7</v>
      </c>
      <c r="H6" s="10"/>
      <c r="I6" s="10"/>
    </row>
    <row r="7" spans="1:10" x14ac:dyDescent="0.2">
      <c r="A7" s="10">
        <v>17538</v>
      </c>
      <c r="B7" s="11">
        <v>42248</v>
      </c>
      <c r="C7" s="12">
        <v>6.5</v>
      </c>
      <c r="D7" s="12">
        <v>0.5</v>
      </c>
      <c r="E7" s="15" t="s">
        <v>11</v>
      </c>
      <c r="F7" s="21"/>
      <c r="G7" s="22"/>
      <c r="H7" s="10"/>
      <c r="I7" s="10"/>
    </row>
    <row r="8" spans="1:10" x14ac:dyDescent="0.2">
      <c r="A8" s="10">
        <v>17539</v>
      </c>
      <c r="B8" s="11">
        <v>42248</v>
      </c>
      <c r="C8" s="12">
        <v>10</v>
      </c>
      <c r="D8" s="12"/>
      <c r="E8" s="13" t="s">
        <v>19</v>
      </c>
      <c r="H8" s="12"/>
      <c r="I8" s="10"/>
    </row>
    <row r="9" spans="1:10" x14ac:dyDescent="0.2">
      <c r="A9" s="10">
        <v>17540</v>
      </c>
      <c r="B9" s="11">
        <v>42248</v>
      </c>
      <c r="C9" s="12">
        <v>259.8</v>
      </c>
      <c r="D9" s="12">
        <v>19.8</v>
      </c>
      <c r="E9" s="17"/>
      <c r="H9" s="12"/>
      <c r="I9" s="10"/>
    </row>
    <row r="10" spans="1:10" x14ac:dyDescent="0.2">
      <c r="A10" s="10">
        <v>17541</v>
      </c>
      <c r="B10" s="11">
        <v>42248</v>
      </c>
      <c r="C10" s="12">
        <v>58.46</v>
      </c>
      <c r="D10" s="12">
        <v>4.46</v>
      </c>
      <c r="E10" s="15" t="s">
        <v>11</v>
      </c>
      <c r="H10" s="10"/>
      <c r="I10" s="10"/>
    </row>
    <row r="11" spans="1:10" x14ac:dyDescent="0.2">
      <c r="A11" s="10">
        <v>17542</v>
      </c>
      <c r="B11" s="11">
        <v>42248</v>
      </c>
      <c r="C11" s="12">
        <v>97.43</v>
      </c>
      <c r="D11" s="12">
        <v>7.43</v>
      </c>
      <c r="E11" s="15" t="s">
        <v>21</v>
      </c>
      <c r="H11" s="10"/>
      <c r="I11" s="10"/>
    </row>
    <row r="12" spans="1:10" x14ac:dyDescent="0.2">
      <c r="A12" s="10">
        <v>17543</v>
      </c>
      <c r="B12" s="11">
        <v>42248</v>
      </c>
      <c r="C12" s="12">
        <v>8.61</v>
      </c>
      <c r="D12" s="12">
        <v>0.66</v>
      </c>
      <c r="E12" s="15" t="s">
        <v>11</v>
      </c>
      <c r="H12" s="10"/>
      <c r="I12" s="10"/>
    </row>
    <row r="13" spans="1:10" x14ac:dyDescent="0.2">
      <c r="A13" s="10">
        <v>17544</v>
      </c>
      <c r="B13" s="11">
        <v>42248</v>
      </c>
      <c r="C13" s="12">
        <v>2.5</v>
      </c>
      <c r="D13" s="12"/>
      <c r="E13" s="15" t="s">
        <v>11</v>
      </c>
      <c r="F13" s="21"/>
      <c r="G13" s="22"/>
      <c r="H13" s="10"/>
      <c r="I13" s="10"/>
    </row>
    <row r="14" spans="1:10" x14ac:dyDescent="0.2">
      <c r="A14" s="10">
        <v>17545</v>
      </c>
      <c r="B14" s="11">
        <v>42248</v>
      </c>
      <c r="C14" s="12">
        <v>5.95</v>
      </c>
      <c r="D14" s="12">
        <v>0.45</v>
      </c>
      <c r="E14" s="17"/>
      <c r="F14" s="18"/>
      <c r="G14" s="19"/>
      <c r="H14" s="12"/>
      <c r="I14" s="10"/>
    </row>
    <row r="15" spans="1:10" x14ac:dyDescent="0.2">
      <c r="A15" s="10">
        <v>17546</v>
      </c>
      <c r="B15" s="11">
        <v>42248</v>
      </c>
      <c r="C15" s="12">
        <v>85.52</v>
      </c>
      <c r="D15" s="12">
        <v>6.52</v>
      </c>
      <c r="E15" s="17"/>
      <c r="F15" s="34">
        <f>+C3+C4+C7+C10+C12+C6+C13</f>
        <v>319.64</v>
      </c>
      <c r="G15" s="34">
        <v>312.41000000000003</v>
      </c>
      <c r="H15" s="12"/>
      <c r="I15" s="10"/>
    </row>
    <row r="16" spans="1:10" x14ac:dyDescent="0.2">
      <c r="A16" s="10">
        <v>17547</v>
      </c>
      <c r="B16" s="11">
        <v>42249</v>
      </c>
      <c r="C16" s="12">
        <v>53.04</v>
      </c>
      <c r="D16" s="12">
        <v>4.04</v>
      </c>
      <c r="E16" s="17"/>
      <c r="H16" s="12"/>
      <c r="I16" s="10"/>
    </row>
    <row r="17" spans="1:9" x14ac:dyDescent="0.2">
      <c r="A17" s="10">
        <v>17548</v>
      </c>
      <c r="B17" s="11">
        <v>42249</v>
      </c>
      <c r="C17" s="12">
        <v>19</v>
      </c>
      <c r="D17" s="12">
        <v>1.45</v>
      </c>
      <c r="E17" s="17"/>
      <c r="F17" s="18"/>
      <c r="G17" s="19"/>
      <c r="H17" s="12"/>
      <c r="I17" s="10"/>
    </row>
    <row r="18" spans="1:9" x14ac:dyDescent="0.2">
      <c r="A18" s="10">
        <v>17549</v>
      </c>
      <c r="B18" s="11">
        <v>42249</v>
      </c>
      <c r="C18" s="12">
        <v>37.89</v>
      </c>
      <c r="D18" s="12">
        <v>2.89</v>
      </c>
      <c r="E18" s="15" t="s">
        <v>21</v>
      </c>
      <c r="H18" s="10"/>
      <c r="I18" s="10"/>
    </row>
    <row r="19" spans="1:9" x14ac:dyDescent="0.2">
      <c r="A19" s="10">
        <v>17550</v>
      </c>
      <c r="B19" s="11">
        <v>42249</v>
      </c>
      <c r="C19" s="12">
        <v>27.48</v>
      </c>
      <c r="D19" s="12">
        <v>2.09</v>
      </c>
      <c r="E19" s="17"/>
      <c r="F19" s="18"/>
      <c r="G19" s="19"/>
      <c r="H19" s="12"/>
      <c r="I19" s="10"/>
    </row>
    <row r="20" spans="1:9" x14ac:dyDescent="0.2">
      <c r="A20" s="10">
        <v>17551</v>
      </c>
      <c r="B20" s="11">
        <v>42249</v>
      </c>
      <c r="C20" s="12">
        <v>37.89</v>
      </c>
      <c r="D20" s="12">
        <v>2.89</v>
      </c>
      <c r="E20" s="17"/>
      <c r="H20" s="12"/>
      <c r="I20" s="10"/>
    </row>
    <row r="21" spans="1:9" x14ac:dyDescent="0.2">
      <c r="A21" s="10">
        <v>17552</v>
      </c>
      <c r="B21" s="11">
        <v>42249</v>
      </c>
      <c r="C21" s="12">
        <v>17.440000000000001</v>
      </c>
      <c r="D21" s="12"/>
      <c r="E21" s="15" t="s">
        <v>395</v>
      </c>
      <c r="H21" s="10"/>
      <c r="I21" s="10"/>
    </row>
    <row r="22" spans="1:9" x14ac:dyDescent="0.2">
      <c r="A22" s="10">
        <v>17553</v>
      </c>
      <c r="B22" s="11">
        <v>42249</v>
      </c>
      <c r="C22" s="12">
        <v>23.709999999999997</v>
      </c>
      <c r="D22" s="12">
        <v>1.81</v>
      </c>
      <c r="E22" s="15" t="s">
        <v>11</v>
      </c>
      <c r="H22" s="10"/>
      <c r="I22" s="10"/>
    </row>
    <row r="23" spans="1:9" x14ac:dyDescent="0.2">
      <c r="A23" s="10">
        <v>17554</v>
      </c>
      <c r="B23" s="11">
        <v>42249</v>
      </c>
      <c r="C23" s="12">
        <v>414</v>
      </c>
      <c r="D23" s="12"/>
      <c r="E23" s="15" t="s">
        <v>104</v>
      </c>
      <c r="F23" s="34">
        <f>+C21+C22</f>
        <v>41.15</v>
      </c>
      <c r="G23" s="34">
        <v>40.18</v>
      </c>
      <c r="H23" s="10"/>
      <c r="I23" s="10"/>
    </row>
    <row r="24" spans="1:9" x14ac:dyDescent="0.2">
      <c r="A24" s="10">
        <v>17555</v>
      </c>
      <c r="B24" s="11">
        <v>42250</v>
      </c>
      <c r="C24" s="12">
        <v>77.94</v>
      </c>
      <c r="D24" s="12">
        <v>5.94</v>
      </c>
      <c r="E24" s="17"/>
      <c r="H24" s="12"/>
      <c r="I24" s="10"/>
    </row>
    <row r="25" spans="1:9" x14ac:dyDescent="0.2">
      <c r="A25" s="10">
        <v>17556</v>
      </c>
      <c r="B25" s="11">
        <v>42250</v>
      </c>
      <c r="C25" s="12">
        <v>44.38</v>
      </c>
      <c r="D25" s="12">
        <v>3.38</v>
      </c>
      <c r="E25" s="15" t="s">
        <v>7</v>
      </c>
      <c r="H25" s="10"/>
      <c r="I25" s="10"/>
    </row>
    <row r="26" spans="1:9" x14ac:dyDescent="0.2">
      <c r="A26" s="10">
        <v>17557</v>
      </c>
      <c r="B26" s="11">
        <v>42250</v>
      </c>
      <c r="C26" s="12">
        <v>12.94</v>
      </c>
      <c r="D26" s="12">
        <v>0.99</v>
      </c>
      <c r="E26" s="15" t="s">
        <v>11</v>
      </c>
      <c r="F26" s="21"/>
      <c r="G26" s="22"/>
      <c r="H26" s="10"/>
      <c r="I26" s="10"/>
    </row>
    <row r="27" spans="1:9" x14ac:dyDescent="0.2">
      <c r="A27" s="10">
        <v>17558</v>
      </c>
      <c r="B27" s="11">
        <v>42250</v>
      </c>
      <c r="C27" s="12">
        <v>29.23</v>
      </c>
      <c r="D27" s="12">
        <v>2.23</v>
      </c>
      <c r="E27" s="15" t="s">
        <v>7</v>
      </c>
      <c r="F27" s="21"/>
      <c r="G27" s="22"/>
      <c r="H27" s="10"/>
      <c r="I27" s="10"/>
    </row>
    <row r="28" spans="1:9" x14ac:dyDescent="0.2">
      <c r="A28" s="10">
        <v>17559</v>
      </c>
      <c r="B28" s="11">
        <v>42250</v>
      </c>
      <c r="C28" s="12">
        <v>9.69</v>
      </c>
      <c r="D28" s="12">
        <v>0.74</v>
      </c>
      <c r="E28" s="17"/>
      <c r="H28" s="12"/>
      <c r="I28" s="10"/>
    </row>
    <row r="29" spans="1:9" x14ac:dyDescent="0.2">
      <c r="A29" s="10">
        <v>17560</v>
      </c>
      <c r="B29" s="11">
        <v>42250</v>
      </c>
      <c r="C29" s="12">
        <v>32.479999999999997</v>
      </c>
      <c r="D29" s="12">
        <v>2.48</v>
      </c>
      <c r="E29" s="15"/>
      <c r="F29" s="21"/>
      <c r="G29" s="22"/>
      <c r="H29" s="10"/>
      <c r="I29" s="10"/>
    </row>
    <row r="30" spans="1:9" x14ac:dyDescent="0.2">
      <c r="A30" s="10">
        <v>17561</v>
      </c>
      <c r="B30" s="11">
        <v>42250</v>
      </c>
      <c r="C30" s="12">
        <v>33</v>
      </c>
      <c r="D30" s="12"/>
      <c r="E30" s="15" t="s">
        <v>446</v>
      </c>
      <c r="H30" s="10"/>
      <c r="I30" s="10"/>
    </row>
    <row r="31" spans="1:9" x14ac:dyDescent="0.2">
      <c r="A31" s="10">
        <v>17562</v>
      </c>
      <c r="B31" s="11">
        <v>42250</v>
      </c>
      <c r="C31" s="12">
        <v>7</v>
      </c>
      <c r="D31" s="12">
        <v>0.53</v>
      </c>
      <c r="E31" s="15" t="s">
        <v>7</v>
      </c>
      <c r="F31" s="34">
        <f>+C25+C26+C27+C30+C31+83.2</f>
        <v>209.75</v>
      </c>
      <c r="G31" s="34">
        <v>205.34</v>
      </c>
      <c r="H31" s="10"/>
      <c r="I31" s="10"/>
    </row>
    <row r="32" spans="1:9" x14ac:dyDescent="0.2">
      <c r="A32" s="10">
        <v>17563</v>
      </c>
      <c r="B32" s="11">
        <v>42251</v>
      </c>
      <c r="C32" s="12">
        <v>139.63999999999999</v>
      </c>
      <c r="D32" s="12">
        <v>10.64</v>
      </c>
      <c r="E32" s="17"/>
      <c r="F32" s="18"/>
      <c r="G32" s="19"/>
      <c r="H32" s="12"/>
      <c r="I32" s="10"/>
    </row>
    <row r="33" spans="1:9" x14ac:dyDescent="0.2">
      <c r="A33" s="10">
        <v>17564</v>
      </c>
      <c r="B33" s="11">
        <v>42251</v>
      </c>
      <c r="C33" s="12">
        <v>16.239999999999998</v>
      </c>
      <c r="D33" s="12">
        <v>1.24</v>
      </c>
      <c r="E33" s="17"/>
      <c r="H33" s="12"/>
      <c r="I33" s="10"/>
    </row>
    <row r="34" spans="1:9" x14ac:dyDescent="0.2">
      <c r="A34" s="10">
        <v>17565</v>
      </c>
      <c r="B34" s="11">
        <v>42251</v>
      </c>
      <c r="C34" s="12">
        <v>160</v>
      </c>
      <c r="D34" s="12">
        <v>12.19</v>
      </c>
      <c r="E34" s="15"/>
      <c r="H34" s="10"/>
      <c r="I34" s="10"/>
    </row>
    <row r="35" spans="1:9" x14ac:dyDescent="0.2">
      <c r="A35" s="10">
        <v>17566</v>
      </c>
      <c r="B35" s="11">
        <v>42251</v>
      </c>
      <c r="C35" s="12">
        <v>45</v>
      </c>
      <c r="D35" s="12"/>
      <c r="E35" s="15" t="s">
        <v>447</v>
      </c>
      <c r="H35" s="10"/>
      <c r="I35" s="10"/>
    </row>
    <row r="36" spans="1:9" x14ac:dyDescent="0.2">
      <c r="A36" s="10">
        <v>17567</v>
      </c>
      <c r="B36" s="11">
        <v>42251</v>
      </c>
      <c r="C36" s="12">
        <v>269.54000000000002</v>
      </c>
      <c r="D36" s="12">
        <v>20.54</v>
      </c>
      <c r="E36" s="15" t="s">
        <v>11</v>
      </c>
      <c r="F36" s="21"/>
      <c r="G36" s="22"/>
      <c r="H36" s="10"/>
      <c r="I36" s="10"/>
    </row>
    <row r="37" spans="1:9" x14ac:dyDescent="0.2">
      <c r="A37" s="10">
        <v>17568</v>
      </c>
      <c r="B37" s="11">
        <v>42251</v>
      </c>
      <c r="C37" s="12">
        <v>58.46</v>
      </c>
      <c r="D37" s="12">
        <v>4.46</v>
      </c>
      <c r="E37" s="15" t="s">
        <v>11</v>
      </c>
      <c r="H37" s="10"/>
      <c r="I37" s="10"/>
    </row>
    <row r="38" spans="1:9" x14ac:dyDescent="0.2">
      <c r="A38" s="10">
        <v>17569</v>
      </c>
      <c r="B38" s="11">
        <v>42251</v>
      </c>
      <c r="C38" s="12">
        <v>29.23</v>
      </c>
      <c r="D38" s="12">
        <v>2.23</v>
      </c>
      <c r="E38" s="17"/>
      <c r="H38" s="12"/>
      <c r="I38" s="10"/>
    </row>
    <row r="39" spans="1:9" x14ac:dyDescent="0.2">
      <c r="A39" s="10">
        <v>17570</v>
      </c>
      <c r="B39" s="11">
        <v>42251</v>
      </c>
      <c r="C39" s="12">
        <v>-85.52</v>
      </c>
      <c r="D39" s="12">
        <v>-6.52</v>
      </c>
      <c r="E39" s="17"/>
      <c r="F39" s="18"/>
      <c r="G39" s="19"/>
      <c r="H39" s="12"/>
      <c r="I39" s="10"/>
    </row>
    <row r="40" spans="1:9" x14ac:dyDescent="0.2">
      <c r="A40" s="10">
        <v>17571</v>
      </c>
      <c r="B40" s="11">
        <v>42251</v>
      </c>
      <c r="C40" s="12">
        <v>80</v>
      </c>
      <c r="D40" s="12">
        <v>6.1</v>
      </c>
      <c r="E40" s="17"/>
      <c r="F40" s="18"/>
      <c r="G40" s="19"/>
      <c r="H40" s="12"/>
      <c r="I40" s="10"/>
    </row>
    <row r="41" spans="1:9" x14ac:dyDescent="0.2">
      <c r="A41" s="10">
        <v>17572</v>
      </c>
      <c r="B41" s="11">
        <v>42251</v>
      </c>
      <c r="C41" s="12">
        <v>9.69</v>
      </c>
      <c r="D41" s="12">
        <v>0.74</v>
      </c>
      <c r="E41" s="17"/>
      <c r="F41" s="34">
        <f>100+C35+C36+C37</f>
        <v>473</v>
      </c>
      <c r="G41" s="34">
        <v>468.58</v>
      </c>
      <c r="H41" s="12"/>
      <c r="I41" s="10"/>
    </row>
    <row r="42" spans="1:9" x14ac:dyDescent="0.2">
      <c r="A42" s="10">
        <v>17573</v>
      </c>
      <c r="B42" s="11">
        <v>42252</v>
      </c>
      <c r="C42" s="12">
        <v>135.31</v>
      </c>
      <c r="D42" s="12">
        <v>10.31</v>
      </c>
      <c r="E42" s="17"/>
      <c r="H42" s="12"/>
      <c r="I42" s="10"/>
    </row>
    <row r="43" spans="1:9" x14ac:dyDescent="0.2">
      <c r="A43" s="10">
        <v>17574</v>
      </c>
      <c r="B43" s="11">
        <v>42252</v>
      </c>
      <c r="C43" s="12">
        <v>665.2</v>
      </c>
      <c r="D43" s="12">
        <v>50.7</v>
      </c>
      <c r="E43" s="13" t="s">
        <v>448</v>
      </c>
      <c r="H43" s="12"/>
      <c r="I43" s="10"/>
    </row>
    <row r="44" spans="1:9" x14ac:dyDescent="0.2">
      <c r="A44" s="10">
        <v>17575</v>
      </c>
      <c r="B44" s="11">
        <v>42252</v>
      </c>
      <c r="C44" s="12">
        <v>2.7</v>
      </c>
      <c r="D44" s="12">
        <v>0.21</v>
      </c>
      <c r="E44" s="17"/>
      <c r="F44" s="18"/>
      <c r="G44" s="19"/>
      <c r="H44" s="12"/>
      <c r="I44" s="10"/>
    </row>
    <row r="45" spans="1:9" x14ac:dyDescent="0.2">
      <c r="A45" s="10">
        <v>17576</v>
      </c>
      <c r="B45" s="11">
        <v>42252</v>
      </c>
      <c r="C45" s="12">
        <v>91</v>
      </c>
      <c r="D45" s="12"/>
      <c r="E45" s="13" t="s">
        <v>449</v>
      </c>
      <c r="F45" s="18"/>
      <c r="G45" s="19"/>
      <c r="H45" s="12"/>
      <c r="I45" s="10"/>
    </row>
    <row r="46" spans="1:9" x14ac:dyDescent="0.2">
      <c r="A46" s="10">
        <v>17577</v>
      </c>
      <c r="B46" s="11">
        <v>42252</v>
      </c>
      <c r="C46" s="12">
        <v>10.83</v>
      </c>
      <c r="D46" s="12">
        <v>0.83</v>
      </c>
      <c r="E46" s="17"/>
      <c r="H46" s="12"/>
      <c r="I46" s="10"/>
    </row>
    <row r="47" spans="1:9" x14ac:dyDescent="0.2">
      <c r="A47" s="10">
        <v>17578</v>
      </c>
      <c r="B47" s="11">
        <v>42252</v>
      </c>
      <c r="C47" s="12">
        <v>499.03</v>
      </c>
      <c r="D47" s="12">
        <v>38.03</v>
      </c>
      <c r="E47" s="15" t="s">
        <v>7</v>
      </c>
      <c r="F47" s="21"/>
      <c r="G47" s="22"/>
      <c r="H47" s="10"/>
      <c r="I47" s="10"/>
    </row>
    <row r="48" spans="1:9" x14ac:dyDescent="0.2">
      <c r="A48" s="10">
        <v>17579</v>
      </c>
      <c r="B48" s="11">
        <v>42252</v>
      </c>
      <c r="C48" s="12">
        <v>54.13</v>
      </c>
      <c r="D48" s="12">
        <v>4.13</v>
      </c>
      <c r="E48" s="15" t="s">
        <v>7</v>
      </c>
      <c r="F48" s="34">
        <f>+C47+C48</f>
        <v>553.16</v>
      </c>
      <c r="G48" s="34">
        <v>536.97</v>
      </c>
      <c r="H48" s="10"/>
      <c r="I48" s="10"/>
    </row>
    <row r="49" spans="1:9" x14ac:dyDescent="0.2">
      <c r="A49" s="10">
        <v>17580</v>
      </c>
      <c r="B49" s="11">
        <v>42254</v>
      </c>
      <c r="C49" s="12">
        <v>43.19</v>
      </c>
      <c r="D49" s="12">
        <v>3.29</v>
      </c>
      <c r="E49" s="15" t="s">
        <v>11</v>
      </c>
      <c r="F49" s="21"/>
      <c r="G49" s="22"/>
      <c r="H49" s="10"/>
      <c r="I49" s="10"/>
    </row>
    <row r="50" spans="1:9" x14ac:dyDescent="0.2">
      <c r="A50" s="10">
        <v>17581</v>
      </c>
      <c r="B50" s="11">
        <v>42254</v>
      </c>
      <c r="C50" s="12">
        <v>132.07</v>
      </c>
      <c r="D50" s="12">
        <v>10.07</v>
      </c>
      <c r="E50" s="13"/>
      <c r="F50" s="18"/>
      <c r="G50" s="19"/>
      <c r="H50" s="12"/>
      <c r="I50" s="10"/>
    </row>
    <row r="51" spans="1:9" x14ac:dyDescent="0.2">
      <c r="A51" s="10">
        <v>17582</v>
      </c>
      <c r="B51" s="11">
        <v>42254</v>
      </c>
      <c r="C51" s="12">
        <v>51.6</v>
      </c>
      <c r="D51" s="12">
        <v>1.65</v>
      </c>
      <c r="E51" s="15" t="s">
        <v>11</v>
      </c>
      <c r="H51" s="10"/>
      <c r="I51" s="10"/>
    </row>
    <row r="52" spans="1:9" x14ac:dyDescent="0.2">
      <c r="A52" s="10">
        <v>17583</v>
      </c>
      <c r="B52" s="11">
        <v>42254</v>
      </c>
      <c r="C52" s="12">
        <v>142.88999999999999</v>
      </c>
      <c r="D52" s="12">
        <v>10.89</v>
      </c>
      <c r="E52" s="17"/>
      <c r="H52" s="12"/>
      <c r="I52" s="10"/>
    </row>
    <row r="53" spans="1:9" x14ac:dyDescent="0.2">
      <c r="A53" s="10">
        <v>17584</v>
      </c>
      <c r="B53" s="11">
        <v>42254</v>
      </c>
      <c r="C53" s="12">
        <v>56.29</v>
      </c>
      <c r="D53" s="12">
        <v>4.29</v>
      </c>
      <c r="E53" s="15" t="s">
        <v>11</v>
      </c>
      <c r="H53" s="10"/>
      <c r="I53" s="10"/>
    </row>
    <row r="54" spans="1:9" x14ac:dyDescent="0.2">
      <c r="A54" s="10">
        <v>17585</v>
      </c>
      <c r="B54" s="11">
        <v>42254</v>
      </c>
      <c r="C54" s="12">
        <v>24.9</v>
      </c>
      <c r="D54" s="12">
        <v>1.9</v>
      </c>
      <c r="E54" s="17"/>
      <c r="H54" s="12"/>
      <c r="I54" s="10"/>
    </row>
    <row r="55" spans="1:9" x14ac:dyDescent="0.2">
      <c r="A55" s="10">
        <v>17586</v>
      </c>
      <c r="B55" s="11">
        <v>42254</v>
      </c>
      <c r="C55" s="12">
        <v>25.98</v>
      </c>
      <c r="D55" s="12">
        <v>1.98</v>
      </c>
      <c r="E55" s="15" t="s">
        <v>11</v>
      </c>
      <c r="F55" s="21"/>
      <c r="G55" s="22"/>
      <c r="H55" s="10"/>
      <c r="I55" s="10"/>
    </row>
    <row r="56" spans="1:9" x14ac:dyDescent="0.2">
      <c r="A56" s="10">
        <v>17587</v>
      </c>
      <c r="B56" s="11">
        <v>42254</v>
      </c>
      <c r="C56" s="12">
        <v>64.95</v>
      </c>
      <c r="D56" s="12">
        <v>4.95</v>
      </c>
      <c r="E56" s="17"/>
      <c r="H56" s="12"/>
      <c r="I56" s="10"/>
    </row>
    <row r="57" spans="1:9" x14ac:dyDescent="0.2">
      <c r="A57" s="10">
        <v>17588</v>
      </c>
      <c r="B57" s="11">
        <v>42254</v>
      </c>
      <c r="C57" s="12">
        <v>192.69</v>
      </c>
      <c r="D57" s="12">
        <v>14.69</v>
      </c>
      <c r="E57" s="15" t="s">
        <v>11</v>
      </c>
      <c r="H57" s="10"/>
      <c r="I57" s="10"/>
    </row>
    <row r="58" spans="1:9" x14ac:dyDescent="0.2">
      <c r="A58" s="10">
        <v>17589</v>
      </c>
      <c r="B58" s="11">
        <v>42254</v>
      </c>
      <c r="C58" s="12">
        <v>172</v>
      </c>
      <c r="D58" s="12">
        <v>13.11</v>
      </c>
      <c r="E58" s="15" t="s">
        <v>11</v>
      </c>
      <c r="H58" s="10"/>
      <c r="I58" s="10"/>
    </row>
    <row r="59" spans="1:9" x14ac:dyDescent="0.2">
      <c r="A59" s="10">
        <v>17590</v>
      </c>
      <c r="B59" s="11">
        <v>42254</v>
      </c>
      <c r="C59" s="12">
        <v>369</v>
      </c>
      <c r="D59" s="12">
        <v>28.12</v>
      </c>
      <c r="E59" s="13" t="s">
        <v>450</v>
      </c>
      <c r="F59" s="34">
        <f>+C49+C51+C53+C55+565.2+C57+C58</f>
        <v>1106.95</v>
      </c>
      <c r="G59" s="34">
        <v>1086.3900000000001</v>
      </c>
      <c r="H59" s="12"/>
      <c r="I59" s="10"/>
    </row>
    <row r="60" spans="1:9" x14ac:dyDescent="0.2">
      <c r="A60" s="10">
        <v>17591</v>
      </c>
      <c r="B60" s="11">
        <v>42255</v>
      </c>
      <c r="C60" s="12">
        <v>5.3900000000000006</v>
      </c>
      <c r="D60" s="12">
        <v>0.41</v>
      </c>
      <c r="E60" s="17"/>
      <c r="H60" s="12"/>
      <c r="I60" s="10"/>
    </row>
    <row r="61" spans="1:9" x14ac:dyDescent="0.2">
      <c r="A61" s="10">
        <v>17592</v>
      </c>
      <c r="B61" s="11">
        <v>42255</v>
      </c>
      <c r="C61" s="12">
        <v>6</v>
      </c>
      <c r="D61" s="12">
        <v>0.46</v>
      </c>
      <c r="E61" s="17"/>
      <c r="H61" s="12"/>
      <c r="I61" s="10"/>
    </row>
    <row r="62" spans="1:9" x14ac:dyDescent="0.2">
      <c r="A62" s="10">
        <v>17593</v>
      </c>
      <c r="B62" s="11">
        <v>42255</v>
      </c>
      <c r="C62" s="12">
        <v>15.7</v>
      </c>
      <c r="D62" s="12">
        <v>1.2</v>
      </c>
      <c r="E62" s="17"/>
      <c r="F62" s="18"/>
      <c r="G62" s="19"/>
      <c r="H62" s="12"/>
      <c r="I62" s="10"/>
    </row>
    <row r="63" spans="1:9" x14ac:dyDescent="0.2">
      <c r="A63" s="10">
        <v>17594</v>
      </c>
      <c r="B63" s="11">
        <v>42255</v>
      </c>
      <c r="C63" s="12">
        <v>141.81</v>
      </c>
      <c r="D63" s="12">
        <v>10.81</v>
      </c>
      <c r="E63" s="15" t="s">
        <v>11</v>
      </c>
      <c r="H63" s="10"/>
      <c r="I63" s="10"/>
    </row>
    <row r="64" spans="1:9" x14ac:dyDescent="0.2">
      <c r="A64" s="10">
        <v>17595</v>
      </c>
      <c r="B64" s="11">
        <v>42255</v>
      </c>
      <c r="C64" s="12">
        <v>25.98</v>
      </c>
      <c r="D64" s="12">
        <v>1.98</v>
      </c>
      <c r="E64" s="15" t="s">
        <v>11</v>
      </c>
      <c r="H64" s="10"/>
      <c r="I64" s="10"/>
    </row>
    <row r="65" spans="1:9" x14ac:dyDescent="0.2">
      <c r="A65" s="10">
        <v>17596</v>
      </c>
      <c r="B65" s="11">
        <v>42255</v>
      </c>
      <c r="C65" s="12">
        <v>50.88</v>
      </c>
      <c r="D65" s="12">
        <v>3.88</v>
      </c>
      <c r="E65" s="17"/>
      <c r="H65" s="12"/>
      <c r="I65" s="10"/>
    </row>
    <row r="66" spans="1:9" x14ac:dyDescent="0.2">
      <c r="A66" s="10">
        <v>17597</v>
      </c>
      <c r="B66" s="11">
        <v>42255</v>
      </c>
      <c r="C66" s="12">
        <v>74.69</v>
      </c>
      <c r="D66" s="12">
        <v>5.69</v>
      </c>
      <c r="E66" s="15" t="s">
        <v>11</v>
      </c>
      <c r="H66" s="10"/>
      <c r="I66" s="10"/>
    </row>
    <row r="67" spans="1:9" x14ac:dyDescent="0.2">
      <c r="A67" s="10">
        <v>17598</v>
      </c>
      <c r="B67" s="11">
        <v>42255</v>
      </c>
      <c r="C67" s="12">
        <v>38.79</v>
      </c>
      <c r="D67" s="12"/>
      <c r="E67" s="15" t="s">
        <v>368</v>
      </c>
      <c r="F67" s="21"/>
      <c r="G67" s="22"/>
      <c r="H67" s="10"/>
      <c r="I67" s="10"/>
    </row>
    <row r="68" spans="1:9" x14ac:dyDescent="0.2">
      <c r="A68" s="10">
        <v>17599</v>
      </c>
      <c r="B68" s="11">
        <v>42255</v>
      </c>
      <c r="C68" s="12">
        <v>120</v>
      </c>
      <c r="D68" s="12">
        <v>9.15</v>
      </c>
      <c r="E68" s="17"/>
      <c r="H68" s="12"/>
      <c r="I68" s="10"/>
    </row>
    <row r="69" spans="1:9" x14ac:dyDescent="0.2">
      <c r="A69" s="10">
        <v>17600</v>
      </c>
      <c r="B69" s="11">
        <v>42255</v>
      </c>
      <c r="C69" s="12">
        <v>42.22</v>
      </c>
      <c r="D69" s="12">
        <v>3.22</v>
      </c>
      <c r="E69" s="15" t="s">
        <v>11</v>
      </c>
      <c r="F69" s="34">
        <f>70+C66+C64+C67+C69</f>
        <v>251.67999999999998</v>
      </c>
      <c r="G69" s="34">
        <v>248.77</v>
      </c>
      <c r="H69" s="10"/>
      <c r="I69" s="10"/>
    </row>
    <row r="70" spans="1:9" x14ac:dyDescent="0.2">
      <c r="A70" s="10">
        <v>17601</v>
      </c>
      <c r="B70" s="11">
        <v>42256</v>
      </c>
      <c r="C70" s="12">
        <v>35.72</v>
      </c>
      <c r="D70" s="12">
        <v>2.72</v>
      </c>
      <c r="E70" s="15" t="s">
        <v>11</v>
      </c>
      <c r="H70" s="10"/>
      <c r="I70" s="10"/>
    </row>
    <row r="71" spans="1:9" x14ac:dyDescent="0.2">
      <c r="A71" s="10">
        <v>17602</v>
      </c>
      <c r="B71" s="11">
        <v>42256</v>
      </c>
      <c r="C71" s="12">
        <v>33.5</v>
      </c>
      <c r="D71" s="12">
        <v>2.5499999999999998</v>
      </c>
      <c r="E71" s="15" t="s">
        <v>11</v>
      </c>
      <c r="H71" s="10"/>
      <c r="I71" s="10"/>
    </row>
    <row r="72" spans="1:9" x14ac:dyDescent="0.2">
      <c r="A72" s="10">
        <v>17603</v>
      </c>
      <c r="B72" s="11">
        <v>42256</v>
      </c>
      <c r="C72" s="12">
        <v>16.18</v>
      </c>
      <c r="D72" s="12">
        <v>1.23</v>
      </c>
      <c r="E72" s="15" t="s">
        <v>11</v>
      </c>
      <c r="H72" s="10"/>
      <c r="I72" s="10"/>
    </row>
    <row r="73" spans="1:9" x14ac:dyDescent="0.2">
      <c r="A73" s="10">
        <v>17604</v>
      </c>
      <c r="B73" s="11">
        <v>42256</v>
      </c>
      <c r="C73" s="12">
        <v>26</v>
      </c>
      <c r="D73" s="12"/>
      <c r="E73" s="15" t="s">
        <v>417</v>
      </c>
      <c r="H73" s="10"/>
      <c r="I73" s="10"/>
    </row>
    <row r="74" spans="1:9" x14ac:dyDescent="0.2">
      <c r="A74" s="10">
        <v>17605</v>
      </c>
      <c r="B74" s="11">
        <v>42256</v>
      </c>
      <c r="C74" s="12">
        <v>32.479999999999997</v>
      </c>
      <c r="D74" s="12">
        <v>2.48</v>
      </c>
      <c r="E74" s="15" t="s">
        <v>21</v>
      </c>
      <c r="H74" s="10"/>
      <c r="I74" s="10"/>
    </row>
    <row r="75" spans="1:9" x14ac:dyDescent="0.2">
      <c r="A75" s="10">
        <v>17606</v>
      </c>
      <c r="B75" s="11">
        <v>42256</v>
      </c>
      <c r="C75" s="12">
        <v>214.34</v>
      </c>
      <c r="D75" s="12">
        <v>16.34</v>
      </c>
      <c r="E75" s="13" t="s">
        <v>451</v>
      </c>
      <c r="H75" s="12"/>
      <c r="I75" s="10"/>
    </row>
    <row r="76" spans="1:9" x14ac:dyDescent="0.2">
      <c r="A76" s="10">
        <v>17607</v>
      </c>
      <c r="B76" s="11">
        <v>42256</v>
      </c>
      <c r="C76" s="12">
        <v>23</v>
      </c>
      <c r="D76" s="12">
        <v>1.75</v>
      </c>
      <c r="E76" s="17"/>
      <c r="F76" s="34">
        <f>+C70+C71+C72</f>
        <v>85.4</v>
      </c>
      <c r="G76" s="34">
        <v>83.63</v>
      </c>
      <c r="H76" s="12"/>
      <c r="I76" s="10"/>
    </row>
    <row r="77" spans="1:9" x14ac:dyDescent="0.2">
      <c r="A77" s="10">
        <v>17608</v>
      </c>
      <c r="B77" s="11">
        <v>42257</v>
      </c>
      <c r="C77" s="12">
        <v>293.89999999999998</v>
      </c>
      <c r="D77" s="12">
        <v>22.4</v>
      </c>
      <c r="E77" s="15"/>
      <c r="H77" s="10"/>
      <c r="I77" s="10"/>
    </row>
    <row r="78" spans="1:9" x14ac:dyDescent="0.2">
      <c r="A78" s="10">
        <v>17609</v>
      </c>
      <c r="B78" s="11">
        <v>42257</v>
      </c>
      <c r="C78" s="12">
        <v>129.9</v>
      </c>
      <c r="D78" s="12">
        <v>9.9</v>
      </c>
      <c r="E78" s="17"/>
      <c r="H78" s="12"/>
      <c r="I78" s="10"/>
    </row>
    <row r="79" spans="1:9" x14ac:dyDescent="0.2">
      <c r="A79" s="10">
        <v>17610</v>
      </c>
      <c r="B79" s="11">
        <v>42257</v>
      </c>
      <c r="C79" s="12">
        <v>7.58</v>
      </c>
      <c r="D79" s="12">
        <v>0.57999999999999996</v>
      </c>
      <c r="E79" s="15" t="s">
        <v>11</v>
      </c>
      <c r="F79" s="21"/>
      <c r="G79" s="22"/>
      <c r="H79" s="10"/>
      <c r="I79" s="10"/>
    </row>
    <row r="80" spans="1:9" x14ac:dyDescent="0.2">
      <c r="A80" s="10">
        <v>17611</v>
      </c>
      <c r="B80" s="11">
        <v>42257</v>
      </c>
      <c r="C80" s="12">
        <v>0</v>
      </c>
      <c r="D80" s="12">
        <v>0</v>
      </c>
      <c r="E80" s="17"/>
      <c r="H80" s="12"/>
      <c r="I80" s="10"/>
    </row>
    <row r="81" spans="1:9" x14ac:dyDescent="0.2">
      <c r="A81" s="10">
        <v>17612</v>
      </c>
      <c r="B81" s="11">
        <v>42257</v>
      </c>
      <c r="C81" s="12">
        <v>10</v>
      </c>
      <c r="D81" s="12">
        <v>0.76</v>
      </c>
      <c r="E81" s="17"/>
      <c r="F81" s="18"/>
      <c r="G81" s="19"/>
      <c r="H81" s="12"/>
      <c r="I81" s="10"/>
    </row>
    <row r="82" spans="1:9" x14ac:dyDescent="0.2">
      <c r="A82" s="10">
        <v>17613</v>
      </c>
      <c r="B82" s="11">
        <v>42257</v>
      </c>
      <c r="C82" s="12">
        <v>6.67</v>
      </c>
      <c r="D82" s="12"/>
      <c r="E82" s="15" t="s">
        <v>11</v>
      </c>
      <c r="H82" s="10"/>
      <c r="I82" s="10"/>
    </row>
    <row r="83" spans="1:9" x14ac:dyDescent="0.2">
      <c r="A83" s="10">
        <v>17614</v>
      </c>
      <c r="B83" s="11">
        <v>42257</v>
      </c>
      <c r="C83" s="12">
        <v>90.88</v>
      </c>
      <c r="D83" s="12">
        <v>6.93</v>
      </c>
      <c r="E83" s="15" t="s">
        <v>11</v>
      </c>
      <c r="H83" s="10"/>
      <c r="I83" s="10"/>
    </row>
    <row r="84" spans="1:9" x14ac:dyDescent="0.2">
      <c r="A84" s="10">
        <v>17615</v>
      </c>
      <c r="B84" s="11">
        <v>42257</v>
      </c>
      <c r="C84" s="12">
        <v>143.97</v>
      </c>
      <c r="D84" s="12">
        <v>10.97</v>
      </c>
      <c r="E84" s="15" t="s">
        <v>7</v>
      </c>
      <c r="F84" s="21"/>
      <c r="G84" s="22"/>
      <c r="H84" s="10"/>
      <c r="I84" s="10"/>
    </row>
    <row r="85" spans="1:9" x14ac:dyDescent="0.2">
      <c r="A85" s="10">
        <v>17616</v>
      </c>
      <c r="B85" s="11">
        <v>42257</v>
      </c>
      <c r="C85" s="12">
        <v>301.48</v>
      </c>
      <c r="D85" s="12">
        <v>22.98</v>
      </c>
      <c r="E85" s="17"/>
      <c r="F85" s="18"/>
      <c r="G85" s="19"/>
      <c r="H85" s="12"/>
      <c r="I85" s="10"/>
    </row>
    <row r="86" spans="1:9" x14ac:dyDescent="0.2">
      <c r="A86" s="10">
        <v>17617</v>
      </c>
      <c r="B86" s="11">
        <v>42257</v>
      </c>
      <c r="C86" s="12">
        <v>5.41</v>
      </c>
      <c r="D86" s="12">
        <v>0.41</v>
      </c>
      <c r="E86" s="17"/>
      <c r="H86" s="12"/>
      <c r="I86" s="10"/>
    </row>
    <row r="87" spans="1:9" x14ac:dyDescent="0.2">
      <c r="A87" s="10">
        <v>17618</v>
      </c>
      <c r="B87" s="11">
        <v>42257</v>
      </c>
      <c r="C87" s="12">
        <v>206.22</v>
      </c>
      <c r="D87" s="12">
        <v>15.72</v>
      </c>
      <c r="E87" s="13"/>
      <c r="F87" s="18"/>
      <c r="G87" s="19"/>
      <c r="H87" s="12"/>
      <c r="I87" s="10"/>
    </row>
    <row r="88" spans="1:9" x14ac:dyDescent="0.2">
      <c r="A88" s="10">
        <v>17619</v>
      </c>
      <c r="B88" s="11">
        <v>42257</v>
      </c>
      <c r="C88" s="12">
        <v>4</v>
      </c>
      <c r="D88" s="12"/>
      <c r="E88" s="15" t="s">
        <v>417</v>
      </c>
      <c r="H88" s="10"/>
      <c r="I88" s="10"/>
    </row>
    <row r="89" spans="1:9" x14ac:dyDescent="0.2">
      <c r="A89" s="10">
        <v>17620</v>
      </c>
      <c r="B89" s="11">
        <v>42257</v>
      </c>
      <c r="C89" s="12">
        <v>30.04</v>
      </c>
      <c r="D89" s="12">
        <v>2.29</v>
      </c>
      <c r="E89" s="17"/>
      <c r="F89" s="18"/>
      <c r="G89" s="19"/>
      <c r="H89" s="12"/>
      <c r="I89" s="10"/>
    </row>
    <row r="90" spans="1:9" x14ac:dyDescent="0.2">
      <c r="A90" s="10">
        <v>17621</v>
      </c>
      <c r="B90" s="11">
        <v>42257</v>
      </c>
      <c r="C90" s="12">
        <v>12.99</v>
      </c>
      <c r="D90" s="12">
        <v>0.99</v>
      </c>
      <c r="E90" s="17"/>
      <c r="F90" s="18"/>
      <c r="G90" s="19"/>
      <c r="H90" s="12"/>
      <c r="I90" s="10"/>
    </row>
    <row r="91" spans="1:9" x14ac:dyDescent="0.2">
      <c r="A91" s="10">
        <v>17622</v>
      </c>
      <c r="B91" s="11">
        <v>42257</v>
      </c>
      <c r="C91" s="12">
        <v>413.52</v>
      </c>
      <c r="D91" s="12">
        <v>31.52</v>
      </c>
      <c r="E91" s="13" t="s">
        <v>452</v>
      </c>
      <c r="F91" s="18"/>
      <c r="G91" s="19"/>
      <c r="H91" s="12"/>
      <c r="I91" s="10"/>
    </row>
    <row r="92" spans="1:9" x14ac:dyDescent="0.2">
      <c r="A92" s="10">
        <v>17623</v>
      </c>
      <c r="B92" s="11">
        <v>42257</v>
      </c>
      <c r="C92" s="12">
        <v>25.98</v>
      </c>
      <c r="D92" s="12">
        <v>1.98</v>
      </c>
      <c r="E92" s="15" t="s">
        <v>7</v>
      </c>
      <c r="F92" s="34">
        <f>+C79+C82+C83+C73+C88+C84+C92</f>
        <v>305.08000000000004</v>
      </c>
      <c r="G92" s="34">
        <v>300.01</v>
      </c>
      <c r="H92" s="10"/>
      <c r="I92" s="10"/>
    </row>
    <row r="93" spans="1:9" x14ac:dyDescent="0.2">
      <c r="A93" s="10">
        <v>17624</v>
      </c>
      <c r="B93" s="11">
        <v>42258</v>
      </c>
      <c r="C93" s="12">
        <v>138.56</v>
      </c>
      <c r="D93" s="12">
        <v>10.56</v>
      </c>
      <c r="E93" s="15" t="s">
        <v>11</v>
      </c>
      <c r="H93" s="10"/>
      <c r="I93" s="10"/>
    </row>
    <row r="94" spans="1:9" x14ac:dyDescent="0.2">
      <c r="A94" s="10">
        <v>17625</v>
      </c>
      <c r="B94" s="11">
        <v>42258</v>
      </c>
      <c r="C94" s="12">
        <v>7.84</v>
      </c>
      <c r="D94" s="12"/>
      <c r="E94" s="13" t="s">
        <v>453</v>
      </c>
      <c r="H94" s="12"/>
      <c r="I94" s="10"/>
    </row>
    <row r="95" spans="1:9" x14ac:dyDescent="0.2">
      <c r="A95" s="10">
        <v>17626</v>
      </c>
      <c r="B95" s="11">
        <v>42258</v>
      </c>
      <c r="C95" s="12">
        <v>6.5</v>
      </c>
      <c r="D95" s="12"/>
      <c r="E95" s="15" t="s">
        <v>417</v>
      </c>
      <c r="F95" s="21"/>
      <c r="G95" s="22"/>
      <c r="H95" s="10"/>
      <c r="I95" s="10"/>
    </row>
    <row r="96" spans="1:9" x14ac:dyDescent="0.2">
      <c r="A96" s="10">
        <v>17627</v>
      </c>
      <c r="B96" s="11">
        <v>42258</v>
      </c>
      <c r="C96" s="12">
        <v>369</v>
      </c>
      <c r="D96" s="12">
        <v>28.12</v>
      </c>
      <c r="E96" s="13" t="s">
        <v>450</v>
      </c>
      <c r="F96" s="18"/>
      <c r="G96" s="19"/>
      <c r="H96" s="12"/>
      <c r="I96" s="10"/>
    </row>
    <row r="97" spans="1:9" x14ac:dyDescent="0.2">
      <c r="A97" s="10">
        <v>17628</v>
      </c>
      <c r="B97" s="11">
        <v>42258</v>
      </c>
      <c r="C97" s="12">
        <v>38.43</v>
      </c>
      <c r="D97" s="12">
        <v>2.93</v>
      </c>
      <c r="E97" s="15" t="s">
        <v>11</v>
      </c>
      <c r="H97" s="10"/>
      <c r="I97" s="10"/>
    </row>
    <row r="98" spans="1:9" x14ac:dyDescent="0.2">
      <c r="A98" s="10">
        <v>17629</v>
      </c>
      <c r="B98" s="11">
        <v>42258</v>
      </c>
      <c r="C98" s="12">
        <v>8.93</v>
      </c>
      <c r="D98" s="12"/>
      <c r="E98" s="17"/>
      <c r="F98" s="18"/>
      <c r="G98" s="19"/>
      <c r="H98" s="12"/>
      <c r="I98" s="10"/>
    </row>
    <row r="99" spans="1:9" x14ac:dyDescent="0.2">
      <c r="A99" s="10">
        <v>17630</v>
      </c>
      <c r="B99" s="11">
        <v>42258</v>
      </c>
      <c r="C99" s="12">
        <v>320.42</v>
      </c>
      <c r="D99" s="12">
        <v>24.42</v>
      </c>
      <c r="E99" s="13" t="s">
        <v>454</v>
      </c>
      <c r="H99" s="12"/>
      <c r="I99" s="10"/>
    </row>
    <row r="100" spans="1:9" x14ac:dyDescent="0.2">
      <c r="A100" s="10">
        <v>17631</v>
      </c>
      <c r="B100" s="11">
        <v>42258</v>
      </c>
      <c r="C100" s="12">
        <v>113.66</v>
      </c>
      <c r="D100" s="12">
        <v>8.66</v>
      </c>
      <c r="E100" s="15" t="s">
        <v>21</v>
      </c>
      <c r="F100" s="34">
        <f>+C93+269.91+C95+C97</f>
        <v>453.40000000000003</v>
      </c>
      <c r="G100" s="34">
        <v>448.65</v>
      </c>
      <c r="H100" s="10"/>
      <c r="I100" s="10"/>
    </row>
    <row r="101" spans="1:9" x14ac:dyDescent="0.2">
      <c r="A101" s="10">
        <v>17632</v>
      </c>
      <c r="B101" s="11">
        <v>42259</v>
      </c>
      <c r="C101" s="12">
        <v>11.85</v>
      </c>
      <c r="D101" s="12">
        <v>0.9</v>
      </c>
      <c r="E101" s="17"/>
      <c r="H101" s="12"/>
      <c r="I101" s="10"/>
    </row>
    <row r="102" spans="1:9" x14ac:dyDescent="0.2">
      <c r="A102" s="10">
        <v>17633</v>
      </c>
      <c r="B102" s="11">
        <v>42259</v>
      </c>
      <c r="C102" s="12">
        <v>57.37</v>
      </c>
      <c r="D102" s="12">
        <v>4.37</v>
      </c>
      <c r="E102" s="15" t="s">
        <v>21</v>
      </c>
      <c r="F102" s="21"/>
      <c r="G102" s="22"/>
      <c r="H102" s="10"/>
      <c r="I102" s="10"/>
    </row>
    <row r="103" spans="1:9" x14ac:dyDescent="0.2">
      <c r="A103" s="10">
        <v>17634</v>
      </c>
      <c r="B103" s="11">
        <v>42259</v>
      </c>
      <c r="C103" s="12">
        <v>16.16</v>
      </c>
      <c r="D103" s="12">
        <v>1.23</v>
      </c>
      <c r="E103" s="17"/>
      <c r="F103" s="18"/>
      <c r="G103" s="19"/>
      <c r="H103" s="12"/>
      <c r="I103" s="10"/>
    </row>
    <row r="104" spans="1:9" x14ac:dyDescent="0.2">
      <c r="A104" s="10">
        <v>17635</v>
      </c>
      <c r="B104" s="11">
        <v>42259</v>
      </c>
      <c r="C104" s="12">
        <v>33.56</v>
      </c>
      <c r="D104" s="12">
        <v>2.56</v>
      </c>
      <c r="E104" s="17"/>
      <c r="H104" s="12"/>
      <c r="I104" s="10"/>
    </row>
    <row r="105" spans="1:9" x14ac:dyDescent="0.2">
      <c r="A105" s="10">
        <v>17636</v>
      </c>
      <c r="B105" s="11">
        <v>42259</v>
      </c>
      <c r="C105" s="12">
        <v>333.41</v>
      </c>
      <c r="D105" s="12">
        <v>25.41</v>
      </c>
      <c r="E105" s="15" t="s">
        <v>11</v>
      </c>
      <c r="H105" s="10"/>
      <c r="I105" s="10"/>
    </row>
    <row r="106" spans="1:9" x14ac:dyDescent="0.2">
      <c r="A106" s="10">
        <v>17637</v>
      </c>
      <c r="B106" s="11">
        <v>42259</v>
      </c>
      <c r="C106" s="12">
        <v>6.96</v>
      </c>
      <c r="D106" s="12"/>
      <c r="E106" s="15" t="s">
        <v>368</v>
      </c>
      <c r="H106" s="10"/>
      <c r="I106" s="10"/>
    </row>
    <row r="107" spans="1:9" x14ac:dyDescent="0.2">
      <c r="A107" s="10">
        <v>17638</v>
      </c>
      <c r="B107" s="11">
        <v>42259</v>
      </c>
      <c r="C107" s="12">
        <v>108.2</v>
      </c>
      <c r="D107" s="12">
        <v>8.25</v>
      </c>
      <c r="E107" s="15" t="s">
        <v>11</v>
      </c>
      <c r="H107" s="10"/>
      <c r="I107" s="10"/>
    </row>
    <row r="108" spans="1:9" x14ac:dyDescent="0.2">
      <c r="A108" s="10">
        <v>17639</v>
      </c>
      <c r="B108" s="11">
        <v>42259</v>
      </c>
      <c r="C108" s="12">
        <v>38.75</v>
      </c>
      <c r="D108" s="12">
        <v>2.95</v>
      </c>
      <c r="E108" s="15" t="s">
        <v>11</v>
      </c>
      <c r="H108" s="10"/>
      <c r="I108" s="10"/>
    </row>
    <row r="109" spans="1:9" x14ac:dyDescent="0.2">
      <c r="A109" s="10">
        <v>17640</v>
      </c>
      <c r="B109" s="11">
        <v>42259</v>
      </c>
      <c r="C109" s="12">
        <v>22.73</v>
      </c>
      <c r="D109" s="12">
        <v>1.73</v>
      </c>
      <c r="E109" s="17"/>
      <c r="H109" s="12"/>
      <c r="I109" s="10"/>
    </row>
    <row r="110" spans="1:9" x14ac:dyDescent="0.2">
      <c r="A110" s="10">
        <v>17641</v>
      </c>
      <c r="B110" s="11">
        <v>42259</v>
      </c>
      <c r="C110" s="12">
        <v>113</v>
      </c>
      <c r="D110" s="12">
        <v>8.61</v>
      </c>
      <c r="E110" s="17"/>
      <c r="F110" s="34">
        <f>+C106+C107+C108</f>
        <v>153.91</v>
      </c>
      <c r="G110" s="34">
        <v>151.69</v>
      </c>
      <c r="H110" s="12"/>
      <c r="I110" s="10"/>
    </row>
    <row r="111" spans="1:9" x14ac:dyDescent="0.2">
      <c r="A111" s="10">
        <v>17642</v>
      </c>
      <c r="B111" s="11">
        <v>42261</v>
      </c>
      <c r="C111" s="12">
        <v>43.3</v>
      </c>
      <c r="D111" s="12">
        <v>3.3</v>
      </c>
      <c r="E111" s="15"/>
      <c r="H111" s="10"/>
      <c r="I111" s="10"/>
    </row>
    <row r="112" spans="1:9" x14ac:dyDescent="0.2">
      <c r="A112" s="10">
        <v>17643</v>
      </c>
      <c r="B112" s="11">
        <v>42261</v>
      </c>
      <c r="C112" s="12">
        <v>113.66</v>
      </c>
      <c r="D112" s="12">
        <v>8.66</v>
      </c>
      <c r="E112" s="17"/>
      <c r="H112" s="12"/>
      <c r="I112" s="10"/>
    </row>
    <row r="113" spans="1:9" x14ac:dyDescent="0.2">
      <c r="A113" s="10">
        <v>17644</v>
      </c>
      <c r="B113" s="11">
        <v>42261</v>
      </c>
      <c r="C113" s="12">
        <v>119.56</v>
      </c>
      <c r="D113" s="12">
        <v>9.11</v>
      </c>
      <c r="E113" s="15" t="s">
        <v>455</v>
      </c>
      <c r="F113" s="21"/>
      <c r="G113" s="22"/>
      <c r="H113" s="10"/>
      <c r="I113" s="10"/>
    </row>
    <row r="114" spans="1:9" x14ac:dyDescent="0.2">
      <c r="A114" s="10">
        <v>17645</v>
      </c>
      <c r="B114" s="11">
        <v>42261</v>
      </c>
      <c r="C114" s="12">
        <v>14.07</v>
      </c>
      <c r="D114" s="12">
        <v>1.07</v>
      </c>
      <c r="E114" s="13"/>
      <c r="F114" s="18"/>
      <c r="G114" s="19"/>
      <c r="H114" s="12"/>
      <c r="I114" s="10"/>
    </row>
    <row r="115" spans="1:9" x14ac:dyDescent="0.2">
      <c r="A115" s="10">
        <v>17646</v>
      </c>
      <c r="B115" s="11">
        <v>42261</v>
      </c>
      <c r="C115" s="12">
        <v>128.76</v>
      </c>
      <c r="D115" s="12">
        <v>9.81</v>
      </c>
      <c r="E115" s="13" t="s">
        <v>456</v>
      </c>
      <c r="F115" s="18"/>
      <c r="G115" s="19"/>
      <c r="H115" s="12"/>
      <c r="I115" s="10"/>
    </row>
    <row r="116" spans="1:9" x14ac:dyDescent="0.2">
      <c r="A116" s="10">
        <v>17647</v>
      </c>
      <c r="B116" s="11">
        <v>42261</v>
      </c>
      <c r="C116" s="12">
        <v>67.12</v>
      </c>
      <c r="D116" s="12">
        <v>5.12</v>
      </c>
      <c r="E116" s="15" t="s">
        <v>7</v>
      </c>
      <c r="F116" s="21"/>
      <c r="G116" s="22"/>
      <c r="H116" s="10"/>
      <c r="I116" s="10"/>
    </row>
    <row r="117" spans="1:9" x14ac:dyDescent="0.2">
      <c r="A117" s="10">
        <v>17648</v>
      </c>
      <c r="B117" s="11">
        <v>42261</v>
      </c>
      <c r="C117" s="12">
        <v>24.994924999999999</v>
      </c>
      <c r="D117" s="12">
        <v>1.904925</v>
      </c>
      <c r="E117" s="13"/>
      <c r="F117" s="18"/>
      <c r="G117" s="19"/>
      <c r="H117" s="12"/>
      <c r="I117" s="10"/>
    </row>
    <row r="118" spans="1:9" x14ac:dyDescent="0.2">
      <c r="A118" s="10">
        <v>17649</v>
      </c>
      <c r="B118" s="11">
        <v>42261</v>
      </c>
      <c r="C118" s="12">
        <v>119</v>
      </c>
      <c r="D118" s="12">
        <v>9.07</v>
      </c>
      <c r="E118" s="15" t="s">
        <v>11</v>
      </c>
      <c r="H118" s="10"/>
      <c r="I118" s="10"/>
    </row>
    <row r="119" spans="1:9" x14ac:dyDescent="0.2">
      <c r="A119" s="10">
        <v>17650</v>
      </c>
      <c r="B119" s="11">
        <v>42261</v>
      </c>
      <c r="C119" s="12">
        <v>46.87</v>
      </c>
      <c r="D119" s="12">
        <v>3.57</v>
      </c>
      <c r="E119" s="15" t="s">
        <v>11</v>
      </c>
      <c r="F119" s="21"/>
      <c r="G119" s="22"/>
      <c r="H119" s="10"/>
      <c r="I119" s="10"/>
    </row>
    <row r="120" spans="1:9" x14ac:dyDescent="0.2">
      <c r="A120" s="10">
        <v>17651</v>
      </c>
      <c r="B120" s="11">
        <v>42261</v>
      </c>
      <c r="C120" s="12">
        <v>29.23</v>
      </c>
      <c r="D120" s="12">
        <v>2.23</v>
      </c>
      <c r="E120" s="15" t="s">
        <v>11</v>
      </c>
      <c r="H120" s="10"/>
      <c r="I120" s="10"/>
    </row>
    <row r="121" spans="1:9" x14ac:dyDescent="0.2">
      <c r="A121" s="10">
        <v>17652</v>
      </c>
      <c r="B121" s="11">
        <v>42261</v>
      </c>
      <c r="C121" s="12">
        <v>69</v>
      </c>
      <c r="D121" s="12">
        <v>5.26</v>
      </c>
      <c r="E121" s="17"/>
      <c r="H121" s="12"/>
      <c r="I121" s="10"/>
    </row>
    <row r="122" spans="1:9" x14ac:dyDescent="0.2">
      <c r="A122" s="10">
        <v>17653</v>
      </c>
      <c r="B122" s="11">
        <v>42261</v>
      </c>
      <c r="C122" s="12">
        <v>94</v>
      </c>
      <c r="D122" s="12"/>
      <c r="E122" s="15" t="s">
        <v>363</v>
      </c>
      <c r="H122" s="10"/>
      <c r="I122" s="10"/>
    </row>
    <row r="123" spans="1:9" x14ac:dyDescent="0.2">
      <c r="A123" s="10">
        <v>17654</v>
      </c>
      <c r="B123" s="11">
        <v>42261</v>
      </c>
      <c r="C123" s="12">
        <v>43.3</v>
      </c>
      <c r="D123" s="12">
        <v>3.3</v>
      </c>
      <c r="E123" s="15"/>
      <c r="F123" s="21"/>
      <c r="G123" s="22"/>
      <c r="H123" s="10"/>
      <c r="I123" s="10"/>
    </row>
    <row r="124" spans="1:9" x14ac:dyDescent="0.2">
      <c r="A124" s="10">
        <v>17655</v>
      </c>
      <c r="B124" s="11">
        <v>42261</v>
      </c>
      <c r="C124" s="12">
        <v>43.3</v>
      </c>
      <c r="D124" s="12">
        <v>3.3</v>
      </c>
      <c r="E124" s="15"/>
      <c r="H124" s="10"/>
      <c r="I124" s="10"/>
    </row>
    <row r="125" spans="1:9" x14ac:dyDescent="0.2">
      <c r="A125" s="10">
        <v>17656</v>
      </c>
      <c r="B125" s="11">
        <v>42261</v>
      </c>
      <c r="C125" s="12">
        <v>225</v>
      </c>
      <c r="D125" s="12"/>
      <c r="E125" s="15" t="s">
        <v>457</v>
      </c>
      <c r="F125" s="34">
        <f>+C116+C118+C119+C120+8.76</f>
        <v>270.98</v>
      </c>
      <c r="G125" s="34">
        <v>266.86</v>
      </c>
      <c r="H125" s="10"/>
      <c r="I125" s="10"/>
    </row>
    <row r="126" spans="1:9" x14ac:dyDescent="0.2">
      <c r="A126" s="10">
        <v>17657</v>
      </c>
      <c r="B126" s="11">
        <v>42262</v>
      </c>
      <c r="C126" s="12">
        <v>216.5</v>
      </c>
      <c r="D126" s="12">
        <v>16.5</v>
      </c>
      <c r="E126" s="15" t="s">
        <v>11</v>
      </c>
      <c r="H126" s="10"/>
      <c r="I126" s="10"/>
    </row>
    <row r="127" spans="1:9" x14ac:dyDescent="0.2">
      <c r="A127" s="10">
        <v>17658</v>
      </c>
      <c r="B127" s="11">
        <v>42262</v>
      </c>
      <c r="C127" s="12">
        <v>43.3</v>
      </c>
      <c r="D127" s="12">
        <v>3.3</v>
      </c>
      <c r="E127" s="17"/>
      <c r="H127" s="12"/>
      <c r="I127" s="10"/>
    </row>
    <row r="128" spans="1:9" x14ac:dyDescent="0.2">
      <c r="A128" s="10">
        <v>17659</v>
      </c>
      <c r="B128" s="11">
        <v>42262</v>
      </c>
      <c r="C128" s="12">
        <v>4.5</v>
      </c>
      <c r="D128" s="12"/>
      <c r="E128" s="15" t="s">
        <v>11</v>
      </c>
      <c r="H128" s="10"/>
      <c r="I128" s="10"/>
    </row>
    <row r="129" spans="1:9" x14ac:dyDescent="0.2">
      <c r="A129" s="10">
        <v>17660</v>
      </c>
      <c r="B129" s="11">
        <v>42262</v>
      </c>
      <c r="C129" s="12">
        <v>108.57000000000001</v>
      </c>
      <c r="D129" s="12">
        <v>8.27</v>
      </c>
      <c r="E129" s="13" t="s">
        <v>458</v>
      </c>
      <c r="F129" s="18"/>
      <c r="G129" s="19"/>
      <c r="H129" s="12"/>
      <c r="I129" s="10"/>
    </row>
    <row r="130" spans="1:9" x14ac:dyDescent="0.2">
      <c r="A130" s="10">
        <v>17661</v>
      </c>
      <c r="B130" s="11">
        <v>42262</v>
      </c>
      <c r="C130" s="12">
        <v>154</v>
      </c>
      <c r="D130" s="12">
        <v>11.74</v>
      </c>
      <c r="E130" s="17"/>
      <c r="H130" s="12"/>
      <c r="I130" s="10"/>
    </row>
    <row r="131" spans="1:9" x14ac:dyDescent="0.2">
      <c r="A131" s="10">
        <v>17662</v>
      </c>
      <c r="B131" s="11">
        <v>42262</v>
      </c>
      <c r="C131" s="12">
        <v>81.080000000000013</v>
      </c>
      <c r="D131" s="12">
        <v>6.18</v>
      </c>
      <c r="E131" s="15" t="s">
        <v>7</v>
      </c>
      <c r="F131" s="34">
        <f>+C126+C128+C105+19.56+C131</f>
        <v>655.05000000000007</v>
      </c>
      <c r="G131" s="34">
        <v>641.36</v>
      </c>
      <c r="H131" s="10"/>
      <c r="I131" s="10"/>
    </row>
    <row r="132" spans="1:9" x14ac:dyDescent="0.2">
      <c r="A132" s="10">
        <v>17663</v>
      </c>
      <c r="B132" s="11">
        <v>42263</v>
      </c>
      <c r="C132" s="12">
        <v>20.0046</v>
      </c>
      <c r="D132" s="12">
        <v>1.5246000000000002</v>
      </c>
      <c r="E132" s="17"/>
      <c r="H132" s="12"/>
      <c r="I132" s="10"/>
    </row>
    <row r="133" spans="1:9" x14ac:dyDescent="0.2">
      <c r="A133" s="10">
        <v>17664</v>
      </c>
      <c r="B133" s="11">
        <v>42263</v>
      </c>
      <c r="C133" s="12">
        <v>2495</v>
      </c>
      <c r="D133" s="12"/>
      <c r="E133" s="15" t="s">
        <v>53</v>
      </c>
      <c r="H133" s="10"/>
      <c r="I133" s="10"/>
    </row>
    <row r="134" spans="1:9" x14ac:dyDescent="0.2">
      <c r="A134" s="10">
        <v>17665</v>
      </c>
      <c r="B134" s="11">
        <v>42263</v>
      </c>
      <c r="C134" s="12">
        <v>362.64</v>
      </c>
      <c r="D134" s="12">
        <v>27.64</v>
      </c>
      <c r="E134" s="15" t="s">
        <v>7</v>
      </c>
      <c r="H134" s="10"/>
      <c r="I134" s="10"/>
    </row>
    <row r="135" spans="1:9" x14ac:dyDescent="0.2">
      <c r="A135" s="10">
        <v>17666</v>
      </c>
      <c r="B135" s="11">
        <v>42263</v>
      </c>
      <c r="C135" s="12">
        <v>21.65</v>
      </c>
      <c r="D135" s="12">
        <v>1.65</v>
      </c>
      <c r="E135" s="15" t="s">
        <v>11</v>
      </c>
      <c r="H135" s="10"/>
      <c r="I135" s="10"/>
    </row>
    <row r="136" spans="1:9" x14ac:dyDescent="0.2">
      <c r="A136" s="10">
        <v>17667</v>
      </c>
      <c r="B136" s="11">
        <v>42263</v>
      </c>
      <c r="C136" s="12">
        <v>84.44</v>
      </c>
      <c r="D136" s="12">
        <v>6.44</v>
      </c>
      <c r="E136" s="15" t="s">
        <v>7</v>
      </c>
      <c r="H136" s="10"/>
      <c r="I136" s="10"/>
    </row>
    <row r="137" spans="1:9" x14ac:dyDescent="0.2">
      <c r="A137" s="10">
        <v>17668</v>
      </c>
      <c r="B137" s="11">
        <v>42263</v>
      </c>
      <c r="C137" s="12">
        <v>80</v>
      </c>
      <c r="D137" s="12">
        <v>6.1</v>
      </c>
      <c r="E137" s="17"/>
      <c r="F137" s="34">
        <f>+C134+C135+15</f>
        <v>399.28999999999996</v>
      </c>
      <c r="G137" s="34">
        <v>390.86</v>
      </c>
      <c r="H137" s="12"/>
      <c r="I137" s="10"/>
    </row>
    <row r="138" spans="1:9" x14ac:dyDescent="0.2">
      <c r="A138" s="10">
        <v>17669</v>
      </c>
      <c r="B138" s="11">
        <v>42264</v>
      </c>
      <c r="C138" s="12">
        <v>737.01999999999987</v>
      </c>
      <c r="D138" s="12">
        <v>56.17</v>
      </c>
      <c r="E138" s="15" t="s">
        <v>459</v>
      </c>
      <c r="H138" s="10"/>
      <c r="I138" s="10"/>
    </row>
    <row r="139" spans="1:9" x14ac:dyDescent="0.2">
      <c r="A139" s="10">
        <v>17670</v>
      </c>
      <c r="B139" s="11">
        <v>42264</v>
      </c>
      <c r="C139" s="12">
        <v>65.820000000000007</v>
      </c>
      <c r="D139" s="12">
        <v>5.0199999999999996</v>
      </c>
      <c r="E139" s="15" t="s">
        <v>13</v>
      </c>
      <c r="H139" s="10"/>
      <c r="I139" s="10"/>
    </row>
    <row r="140" spans="1:9" x14ac:dyDescent="0.2">
      <c r="A140" s="10">
        <v>17671</v>
      </c>
      <c r="B140" s="11">
        <v>42264</v>
      </c>
      <c r="C140" s="12">
        <v>16.239999999999998</v>
      </c>
      <c r="D140" s="12">
        <v>1.24</v>
      </c>
      <c r="E140" s="17"/>
      <c r="H140" s="12"/>
      <c r="I140" s="10"/>
    </row>
    <row r="141" spans="1:9" x14ac:dyDescent="0.2">
      <c r="A141" s="10">
        <v>17672</v>
      </c>
      <c r="B141" s="11">
        <v>42264</v>
      </c>
      <c r="C141" s="12">
        <v>458</v>
      </c>
      <c r="D141" s="12"/>
      <c r="E141" s="15" t="s">
        <v>228</v>
      </c>
      <c r="H141" s="10"/>
      <c r="I141" s="10"/>
    </row>
    <row r="142" spans="1:9" x14ac:dyDescent="0.2">
      <c r="A142" s="10">
        <v>17673</v>
      </c>
      <c r="B142" s="11">
        <v>42264</v>
      </c>
      <c r="C142" s="12">
        <v>80.11</v>
      </c>
      <c r="D142" s="12">
        <v>6.11</v>
      </c>
      <c r="E142" s="15" t="s">
        <v>7</v>
      </c>
      <c r="H142" s="10"/>
      <c r="I142" s="10"/>
    </row>
    <row r="143" spans="1:9" x14ac:dyDescent="0.2">
      <c r="A143" s="10">
        <v>17674</v>
      </c>
      <c r="B143" s="11">
        <v>42264</v>
      </c>
      <c r="C143" s="12">
        <v>25.97</v>
      </c>
      <c r="D143" s="12">
        <v>1.98</v>
      </c>
      <c r="E143" s="15" t="s">
        <v>21</v>
      </c>
      <c r="F143" s="21"/>
      <c r="G143" s="22"/>
      <c r="H143" s="10"/>
      <c r="I143" s="10"/>
    </row>
    <row r="144" spans="1:9" x14ac:dyDescent="0.2">
      <c r="A144" s="10">
        <v>17675</v>
      </c>
      <c r="B144" s="11">
        <v>42264</v>
      </c>
      <c r="C144" s="12">
        <v>48.71</v>
      </c>
      <c r="D144" s="12">
        <v>3.71</v>
      </c>
      <c r="E144" s="15" t="s">
        <v>11</v>
      </c>
      <c r="F144" s="34">
        <f>71.81+C141+C142+C144</f>
        <v>658.63</v>
      </c>
      <c r="G144" s="34">
        <v>647.45000000000005</v>
      </c>
      <c r="H144" s="10"/>
      <c r="I144" s="10"/>
    </row>
    <row r="145" spans="1:9" x14ac:dyDescent="0.2">
      <c r="A145" s="10">
        <v>17676</v>
      </c>
      <c r="B145" s="11">
        <v>42265</v>
      </c>
      <c r="C145" s="12">
        <v>132.07</v>
      </c>
      <c r="D145" s="12">
        <v>10.07</v>
      </c>
      <c r="E145" s="15"/>
      <c r="H145" s="10"/>
      <c r="I145" s="10"/>
    </row>
    <row r="146" spans="1:9" x14ac:dyDescent="0.2">
      <c r="A146" s="10">
        <v>17677</v>
      </c>
      <c r="B146" s="11">
        <v>42265</v>
      </c>
      <c r="C146" s="12">
        <v>2.44</v>
      </c>
      <c r="D146" s="12">
        <v>0.19</v>
      </c>
      <c r="E146" s="15" t="s">
        <v>13</v>
      </c>
      <c r="H146" s="10"/>
      <c r="I146" s="10"/>
    </row>
    <row r="147" spans="1:9" x14ac:dyDescent="0.2">
      <c r="A147" s="10">
        <v>17678</v>
      </c>
      <c r="B147" s="11">
        <v>42265</v>
      </c>
      <c r="C147" s="12">
        <v>10.83</v>
      </c>
      <c r="D147" s="12">
        <v>0.83</v>
      </c>
      <c r="E147" s="17"/>
      <c r="H147" s="12"/>
      <c r="I147" s="10"/>
    </row>
    <row r="148" spans="1:9" x14ac:dyDescent="0.2">
      <c r="A148" s="10">
        <v>17679</v>
      </c>
      <c r="B148" s="11">
        <v>42265</v>
      </c>
      <c r="C148" s="12">
        <v>10</v>
      </c>
      <c r="D148" s="12">
        <v>0.76</v>
      </c>
      <c r="E148" s="17"/>
      <c r="F148" s="18"/>
      <c r="G148" s="19"/>
      <c r="H148" s="12"/>
      <c r="I148" s="10"/>
    </row>
    <row r="149" spans="1:9" x14ac:dyDescent="0.2">
      <c r="A149" s="10">
        <v>17680</v>
      </c>
      <c r="B149" s="11">
        <v>42265</v>
      </c>
      <c r="C149" s="12">
        <v>7</v>
      </c>
      <c r="D149" s="12"/>
      <c r="E149" s="13" t="s">
        <v>460</v>
      </c>
      <c r="F149" s="34">
        <f>65.82+C146</f>
        <v>68.259999999999991</v>
      </c>
      <c r="G149" s="34">
        <v>66.489999999999995</v>
      </c>
      <c r="H149" s="12"/>
      <c r="I149" s="10"/>
    </row>
    <row r="150" spans="1:9" x14ac:dyDescent="0.2">
      <c r="A150" s="10">
        <v>17681</v>
      </c>
      <c r="B150" s="11">
        <v>42266</v>
      </c>
      <c r="C150" s="12">
        <v>5.36</v>
      </c>
      <c r="D150" s="12">
        <v>0.41</v>
      </c>
      <c r="E150" s="23"/>
      <c r="H150" s="10"/>
      <c r="I150" s="10"/>
    </row>
    <row r="151" spans="1:9" x14ac:dyDescent="0.2">
      <c r="A151" s="10">
        <v>17682</v>
      </c>
      <c r="B151" s="11">
        <v>42266</v>
      </c>
      <c r="C151" s="12">
        <v>60.62</v>
      </c>
      <c r="D151" s="12">
        <v>4.62</v>
      </c>
      <c r="E151" s="17"/>
      <c r="F151" s="18"/>
      <c r="G151" s="19"/>
      <c r="H151" s="12"/>
      <c r="I151" s="10"/>
    </row>
    <row r="152" spans="1:9" x14ac:dyDescent="0.2">
      <c r="A152" s="10">
        <v>17683</v>
      </c>
      <c r="B152" s="11">
        <v>42266</v>
      </c>
      <c r="C152" s="12">
        <v>42.22</v>
      </c>
      <c r="D152" s="12">
        <v>3.22</v>
      </c>
      <c r="E152" s="15" t="s">
        <v>11</v>
      </c>
      <c r="H152" s="10"/>
      <c r="I152" s="10"/>
    </row>
    <row r="153" spans="1:9" x14ac:dyDescent="0.2">
      <c r="A153" s="10">
        <v>17684</v>
      </c>
      <c r="B153" s="11">
        <v>42266</v>
      </c>
      <c r="C153" s="12">
        <v>196.14999999999998</v>
      </c>
      <c r="D153" s="12">
        <v>14.95</v>
      </c>
      <c r="E153" s="15" t="s">
        <v>7</v>
      </c>
      <c r="H153" s="10"/>
      <c r="I153" s="10"/>
    </row>
    <row r="154" spans="1:9" x14ac:dyDescent="0.2">
      <c r="A154" s="10">
        <v>17685</v>
      </c>
      <c r="B154" s="11">
        <v>42266</v>
      </c>
      <c r="C154" s="12">
        <v>85.52</v>
      </c>
      <c r="D154" s="12">
        <v>6.52</v>
      </c>
      <c r="E154" s="15" t="s">
        <v>11</v>
      </c>
      <c r="F154" s="155"/>
      <c r="G154" s="155"/>
      <c r="H154" s="10"/>
      <c r="I154" s="10"/>
    </row>
    <row r="155" spans="1:9" x14ac:dyDescent="0.2">
      <c r="A155" s="10">
        <v>17686</v>
      </c>
      <c r="B155" s="11">
        <v>42266</v>
      </c>
      <c r="C155" s="12">
        <v>46.49</v>
      </c>
      <c r="D155" s="12">
        <v>3.54</v>
      </c>
      <c r="E155" s="15" t="s">
        <v>11</v>
      </c>
      <c r="H155" s="10"/>
      <c r="I155" s="10"/>
    </row>
    <row r="156" spans="1:9" x14ac:dyDescent="0.2">
      <c r="A156" s="10">
        <v>17687</v>
      </c>
      <c r="B156" s="11">
        <v>42266</v>
      </c>
      <c r="C156" s="12">
        <v>16.18</v>
      </c>
      <c r="D156" s="12">
        <v>1.23</v>
      </c>
      <c r="E156" s="17"/>
      <c r="H156" s="12"/>
      <c r="I156" s="10"/>
    </row>
    <row r="157" spans="1:9" x14ac:dyDescent="0.2">
      <c r="A157" s="10">
        <v>17688</v>
      </c>
      <c r="B157" s="11">
        <v>42266</v>
      </c>
      <c r="C157" s="12">
        <v>74.69</v>
      </c>
      <c r="D157" s="12">
        <v>5.69</v>
      </c>
      <c r="E157" s="15" t="s">
        <v>11</v>
      </c>
      <c r="H157" s="10"/>
      <c r="I157" s="10"/>
    </row>
    <row r="158" spans="1:9" x14ac:dyDescent="0.2">
      <c r="A158" s="10">
        <v>17689</v>
      </c>
      <c r="B158" s="11">
        <v>42266</v>
      </c>
      <c r="C158" s="12">
        <v>6</v>
      </c>
      <c r="D158" s="12"/>
      <c r="E158" s="15" t="s">
        <v>11</v>
      </c>
      <c r="H158" s="10"/>
      <c r="I158" s="10"/>
    </row>
    <row r="159" spans="1:9" x14ac:dyDescent="0.2">
      <c r="A159" s="10">
        <v>17690</v>
      </c>
      <c r="B159" s="11">
        <v>42266</v>
      </c>
      <c r="C159" s="12">
        <v>135.31</v>
      </c>
      <c r="D159" s="12">
        <v>10.31</v>
      </c>
      <c r="E159" s="15" t="s">
        <v>11</v>
      </c>
      <c r="F159" s="21"/>
      <c r="G159" s="22"/>
      <c r="H159" s="10"/>
      <c r="I159" s="10"/>
    </row>
    <row r="160" spans="1:9" x14ac:dyDescent="0.2">
      <c r="A160" s="10">
        <v>17691</v>
      </c>
      <c r="B160" s="11">
        <v>42266</v>
      </c>
      <c r="C160" s="12">
        <v>21</v>
      </c>
      <c r="D160" s="12"/>
      <c r="E160" s="13" t="s">
        <v>8</v>
      </c>
      <c r="F160" s="18"/>
      <c r="G160" s="19"/>
      <c r="H160" s="12"/>
      <c r="I160" s="10"/>
    </row>
    <row r="161" spans="1:9" x14ac:dyDescent="0.2">
      <c r="A161" s="10">
        <v>17692</v>
      </c>
      <c r="B161" s="11">
        <v>42266</v>
      </c>
      <c r="C161" s="12">
        <v>32.42</v>
      </c>
      <c r="D161" s="12">
        <v>2.4700000000000002</v>
      </c>
      <c r="E161" s="15" t="s">
        <v>7</v>
      </c>
      <c r="H161" s="10"/>
      <c r="I161" s="10"/>
    </row>
    <row r="162" spans="1:9" x14ac:dyDescent="0.2">
      <c r="A162" s="10">
        <v>17693</v>
      </c>
      <c r="B162" s="11">
        <v>42266</v>
      </c>
      <c r="C162" s="12">
        <v>190</v>
      </c>
      <c r="D162" s="12">
        <v>14.48</v>
      </c>
      <c r="E162" s="17"/>
      <c r="F162" s="34">
        <f>+C125+C152+C153+C154+C155+C157+C158+C159+C161</f>
        <v>843.79999999999984</v>
      </c>
      <c r="G162" s="34">
        <v>828.13</v>
      </c>
      <c r="H162" s="12"/>
      <c r="I162" s="10"/>
    </row>
    <row r="163" spans="1:9" x14ac:dyDescent="0.2">
      <c r="A163" s="10">
        <v>17694</v>
      </c>
      <c r="B163" s="11">
        <v>42268</v>
      </c>
      <c r="C163" s="12">
        <v>176.99</v>
      </c>
      <c r="D163" s="12">
        <v>13.49</v>
      </c>
      <c r="E163" s="17"/>
      <c r="H163" s="12"/>
      <c r="I163" s="10"/>
    </row>
    <row r="164" spans="1:9" x14ac:dyDescent="0.2">
      <c r="A164" s="10">
        <v>17695</v>
      </c>
      <c r="B164" s="11">
        <v>42268</v>
      </c>
      <c r="C164" s="12">
        <v>27.06</v>
      </c>
      <c r="D164" s="12">
        <v>2.06</v>
      </c>
      <c r="E164" s="15" t="s">
        <v>7</v>
      </c>
      <c r="H164" s="10"/>
      <c r="I164" s="10"/>
    </row>
    <row r="165" spans="1:9" x14ac:dyDescent="0.2">
      <c r="A165" s="10">
        <v>17696</v>
      </c>
      <c r="B165" s="11">
        <v>42268</v>
      </c>
      <c r="C165" s="12">
        <v>518</v>
      </c>
      <c r="D165" s="12">
        <v>39.479999999999997</v>
      </c>
      <c r="E165" s="17"/>
      <c r="H165" s="12"/>
      <c r="I165" s="10"/>
    </row>
    <row r="166" spans="1:9" x14ac:dyDescent="0.2">
      <c r="A166" s="10">
        <v>17697</v>
      </c>
      <c r="B166" s="11">
        <v>42268</v>
      </c>
      <c r="C166" s="12">
        <v>20.57</v>
      </c>
      <c r="D166" s="12">
        <v>1.57</v>
      </c>
      <c r="E166" s="17"/>
      <c r="F166" s="18"/>
      <c r="G166" s="19"/>
      <c r="H166" s="12"/>
      <c r="I166" s="10"/>
    </row>
    <row r="167" spans="1:9" x14ac:dyDescent="0.2">
      <c r="A167" s="10">
        <v>17698</v>
      </c>
      <c r="B167" s="11">
        <v>42268</v>
      </c>
      <c r="C167" s="12">
        <v>151</v>
      </c>
      <c r="D167" s="12">
        <v>11.51</v>
      </c>
      <c r="E167" s="15" t="s">
        <v>11</v>
      </c>
      <c r="H167" s="10"/>
      <c r="I167" s="10"/>
    </row>
    <row r="168" spans="1:9" x14ac:dyDescent="0.2">
      <c r="A168" s="10">
        <v>17699</v>
      </c>
      <c r="B168" s="11">
        <v>42268</v>
      </c>
      <c r="C168" s="12">
        <v>13</v>
      </c>
      <c r="D168" s="12"/>
      <c r="E168" s="15" t="s">
        <v>271</v>
      </c>
      <c r="H168" s="10"/>
      <c r="I168" s="10"/>
    </row>
    <row r="169" spans="1:9" x14ac:dyDescent="0.2">
      <c r="A169" s="10">
        <v>17700</v>
      </c>
      <c r="B169" s="11">
        <v>42268</v>
      </c>
      <c r="C169" s="12">
        <v>10.83</v>
      </c>
      <c r="D169" s="12">
        <v>0.83</v>
      </c>
      <c r="E169" s="17"/>
      <c r="H169" s="12"/>
      <c r="I169" s="10"/>
    </row>
    <row r="170" spans="1:9" x14ac:dyDescent="0.2">
      <c r="A170" s="10">
        <v>17701</v>
      </c>
      <c r="B170" s="11">
        <v>42268</v>
      </c>
      <c r="C170" s="12">
        <v>262</v>
      </c>
      <c r="D170" s="12">
        <v>19.97</v>
      </c>
      <c r="E170" s="17"/>
      <c r="H170" s="12"/>
      <c r="I170" s="10"/>
    </row>
    <row r="171" spans="1:9" x14ac:dyDescent="0.2">
      <c r="A171" s="10">
        <v>17702</v>
      </c>
      <c r="B171" s="11">
        <v>42268</v>
      </c>
      <c r="C171" s="12">
        <v>11</v>
      </c>
      <c r="D171" s="12">
        <v>0.84</v>
      </c>
      <c r="E171" s="17"/>
      <c r="F171" s="18"/>
      <c r="G171" s="19"/>
      <c r="H171" s="12"/>
      <c r="I171" s="10"/>
    </row>
    <row r="172" spans="1:9" x14ac:dyDescent="0.2">
      <c r="A172" s="10">
        <v>17703</v>
      </c>
      <c r="B172" s="11">
        <v>42268</v>
      </c>
      <c r="C172" s="12">
        <v>0</v>
      </c>
      <c r="D172" s="12">
        <v>0</v>
      </c>
      <c r="E172" s="17"/>
      <c r="F172" s="34">
        <f>+C164+C167</f>
        <v>178.06</v>
      </c>
      <c r="G172" s="34">
        <v>176.61</v>
      </c>
      <c r="H172" s="12"/>
      <c r="I172" s="10"/>
    </row>
    <row r="173" spans="1:9" x14ac:dyDescent="0.2">
      <c r="A173" s="10">
        <v>17704</v>
      </c>
      <c r="B173" s="11">
        <v>42269</v>
      </c>
      <c r="C173" s="12">
        <v>17</v>
      </c>
      <c r="D173" s="12">
        <v>1.3</v>
      </c>
      <c r="E173" s="17"/>
      <c r="H173" s="12"/>
      <c r="I173" s="10"/>
    </row>
    <row r="174" spans="1:9" x14ac:dyDescent="0.2">
      <c r="A174" s="10">
        <v>17705</v>
      </c>
      <c r="B174" s="11">
        <v>42269</v>
      </c>
      <c r="C174" s="12">
        <v>20</v>
      </c>
      <c r="D174" s="12">
        <v>1.52</v>
      </c>
      <c r="E174" s="17"/>
      <c r="F174" s="18"/>
      <c r="G174" s="19"/>
      <c r="H174" s="12"/>
      <c r="I174" s="10"/>
    </row>
    <row r="175" spans="1:9" x14ac:dyDescent="0.2">
      <c r="A175" s="10">
        <v>17706</v>
      </c>
      <c r="B175" s="11">
        <v>42269</v>
      </c>
      <c r="C175" s="12">
        <v>10</v>
      </c>
      <c r="D175" s="12">
        <v>0.76</v>
      </c>
      <c r="E175" s="17"/>
      <c r="F175" s="18"/>
      <c r="G175" s="19"/>
      <c r="H175" s="12"/>
      <c r="I175" s="10"/>
    </row>
    <row r="176" spans="1:9" x14ac:dyDescent="0.2">
      <c r="A176" s="10">
        <v>17707</v>
      </c>
      <c r="B176" s="11">
        <v>42269</v>
      </c>
      <c r="C176" s="12">
        <v>7.09</v>
      </c>
      <c r="D176" s="12"/>
      <c r="E176" s="15" t="s">
        <v>368</v>
      </c>
      <c r="H176" s="10"/>
      <c r="I176" s="10"/>
    </row>
    <row r="177" spans="1:9" x14ac:dyDescent="0.2">
      <c r="A177" s="10">
        <v>17708</v>
      </c>
      <c r="B177" s="11">
        <v>42269</v>
      </c>
      <c r="C177" s="12">
        <v>15.7</v>
      </c>
      <c r="D177" s="12">
        <v>1.2</v>
      </c>
      <c r="E177" s="15" t="s">
        <v>7</v>
      </c>
      <c r="H177" s="10"/>
      <c r="I177" s="10"/>
    </row>
    <row r="178" spans="1:9" x14ac:dyDescent="0.2">
      <c r="A178" s="10">
        <v>17709</v>
      </c>
      <c r="B178" s="11">
        <v>42269</v>
      </c>
      <c r="C178" s="12">
        <v>18.5</v>
      </c>
      <c r="D178" s="12">
        <v>1.41</v>
      </c>
      <c r="E178" s="15" t="s">
        <v>7</v>
      </c>
      <c r="H178" s="10"/>
      <c r="I178" s="10"/>
    </row>
    <row r="179" spans="1:9" x14ac:dyDescent="0.2">
      <c r="A179" s="10">
        <v>17710</v>
      </c>
      <c r="B179" s="11">
        <v>42269</v>
      </c>
      <c r="C179" s="12">
        <v>64.72999999999999</v>
      </c>
      <c r="D179" s="12">
        <v>4.93</v>
      </c>
      <c r="E179" s="15" t="s">
        <v>11</v>
      </c>
      <c r="F179" s="34">
        <f>+C176+C177+C178+C179</f>
        <v>106.01999999999998</v>
      </c>
      <c r="G179" s="34">
        <v>103.31</v>
      </c>
      <c r="H179" s="10"/>
      <c r="I179" s="10"/>
    </row>
    <row r="180" spans="1:9" x14ac:dyDescent="0.2">
      <c r="A180" s="10">
        <v>17711</v>
      </c>
      <c r="B180" s="11">
        <v>42270</v>
      </c>
      <c r="C180" s="12">
        <v>256.01</v>
      </c>
      <c r="D180" s="12">
        <v>19.510000000000002</v>
      </c>
      <c r="E180" s="15" t="s">
        <v>11</v>
      </c>
      <c r="H180" s="10"/>
      <c r="I180" s="10"/>
    </row>
    <row r="181" spans="1:9" x14ac:dyDescent="0.2">
      <c r="A181" s="10">
        <v>17712</v>
      </c>
      <c r="B181" s="11">
        <v>42270</v>
      </c>
      <c r="C181" s="12">
        <v>30.69</v>
      </c>
      <c r="D181" s="12">
        <v>2.34</v>
      </c>
      <c r="E181" s="15" t="s">
        <v>11</v>
      </c>
      <c r="H181" s="10"/>
      <c r="I181" s="10"/>
    </row>
    <row r="182" spans="1:9" x14ac:dyDescent="0.2">
      <c r="A182" s="10">
        <v>17713</v>
      </c>
      <c r="B182" s="11">
        <v>42270</v>
      </c>
      <c r="C182" s="12">
        <v>227.87</v>
      </c>
      <c r="D182" s="12">
        <v>17.37</v>
      </c>
      <c r="E182" s="17"/>
      <c r="H182" s="12"/>
      <c r="I182" s="10"/>
    </row>
    <row r="183" spans="1:9" x14ac:dyDescent="0.2">
      <c r="A183" s="10">
        <v>17714</v>
      </c>
      <c r="B183" s="11">
        <v>42270</v>
      </c>
      <c r="C183" s="12">
        <v>8.01</v>
      </c>
      <c r="D183" s="12"/>
      <c r="E183" s="15" t="s">
        <v>417</v>
      </c>
      <c r="H183" s="10"/>
      <c r="I183" s="10"/>
    </row>
    <row r="184" spans="1:9" x14ac:dyDescent="0.2">
      <c r="A184" s="10">
        <v>17715</v>
      </c>
      <c r="B184" s="11">
        <v>42270</v>
      </c>
      <c r="C184" s="12">
        <v>-20.57</v>
      </c>
      <c r="D184" s="12">
        <v>-1.57</v>
      </c>
      <c r="E184" s="17"/>
      <c r="H184" s="12"/>
      <c r="I184" s="10"/>
    </row>
    <row r="185" spans="1:9" x14ac:dyDescent="0.2">
      <c r="A185" s="10">
        <v>17716</v>
      </c>
      <c r="B185" s="11">
        <v>42270</v>
      </c>
      <c r="C185" s="12">
        <v>10.74</v>
      </c>
      <c r="D185" s="12"/>
      <c r="E185" s="15" t="s">
        <v>280</v>
      </c>
      <c r="H185" s="10"/>
      <c r="I185" s="10"/>
    </row>
    <row r="186" spans="1:9" x14ac:dyDescent="0.2">
      <c r="A186" s="10">
        <v>17717</v>
      </c>
      <c r="B186" s="11">
        <v>42270</v>
      </c>
      <c r="C186" s="12">
        <v>296.06</v>
      </c>
      <c r="D186" s="12">
        <v>22.56</v>
      </c>
      <c r="E186" s="15" t="s">
        <v>11</v>
      </c>
      <c r="F186" s="21"/>
      <c r="G186" s="22"/>
      <c r="H186" s="10"/>
      <c r="I186" s="10"/>
    </row>
    <row r="187" spans="1:9" x14ac:dyDescent="0.2">
      <c r="A187" s="10">
        <v>17718</v>
      </c>
      <c r="B187" s="11">
        <v>42270</v>
      </c>
      <c r="C187" s="12">
        <v>285.77999999999997</v>
      </c>
      <c r="D187" s="12">
        <v>21.78</v>
      </c>
      <c r="E187" s="15" t="s">
        <v>7</v>
      </c>
      <c r="H187" s="10"/>
      <c r="I187" s="10"/>
    </row>
    <row r="188" spans="1:9" x14ac:dyDescent="0.2">
      <c r="A188" s="10">
        <v>17719</v>
      </c>
      <c r="B188" s="11">
        <v>42270</v>
      </c>
      <c r="C188" s="12">
        <v>101</v>
      </c>
      <c r="D188" s="12"/>
      <c r="E188" s="15" t="s">
        <v>7</v>
      </c>
      <c r="H188" s="10"/>
      <c r="I188" s="10"/>
    </row>
    <row r="189" spans="1:9" x14ac:dyDescent="0.2">
      <c r="A189" s="10">
        <v>17720</v>
      </c>
      <c r="B189" s="11">
        <v>42270</v>
      </c>
      <c r="C189" s="12">
        <v>107.17</v>
      </c>
      <c r="D189" s="12">
        <v>8.17</v>
      </c>
      <c r="E189" s="15" t="s">
        <v>461</v>
      </c>
      <c r="H189" s="10"/>
      <c r="I189" s="10"/>
    </row>
    <row r="190" spans="1:9" x14ac:dyDescent="0.2">
      <c r="A190" s="10">
        <v>17721</v>
      </c>
      <c r="B190" s="11">
        <v>42270</v>
      </c>
      <c r="C190" s="12">
        <v>-84.44</v>
      </c>
      <c r="D190" s="12">
        <v>-6.44</v>
      </c>
      <c r="E190" s="15" t="s">
        <v>7</v>
      </c>
      <c r="H190" s="10"/>
      <c r="I190" s="10"/>
    </row>
    <row r="191" spans="1:9" x14ac:dyDescent="0.2">
      <c r="A191" s="10">
        <v>17722</v>
      </c>
      <c r="B191" s="11">
        <v>42270</v>
      </c>
      <c r="C191" s="12">
        <v>16.78</v>
      </c>
      <c r="D191" s="12">
        <v>1.28</v>
      </c>
      <c r="E191" s="17"/>
      <c r="F191" s="18"/>
      <c r="G191" s="19"/>
      <c r="H191" s="12"/>
      <c r="I191" s="10"/>
    </row>
    <row r="192" spans="1:9" x14ac:dyDescent="0.2">
      <c r="A192" s="10">
        <v>17723</v>
      </c>
      <c r="B192" s="11">
        <v>42270</v>
      </c>
      <c r="C192" s="12">
        <v>30</v>
      </c>
      <c r="D192" s="12">
        <v>2.29</v>
      </c>
      <c r="E192" s="17"/>
      <c r="H192" s="12"/>
      <c r="I192" s="10"/>
    </row>
    <row r="193" spans="1:9" x14ac:dyDescent="0.2">
      <c r="A193" s="10">
        <v>17724</v>
      </c>
      <c r="B193" s="11">
        <v>42270</v>
      </c>
      <c r="C193" s="12">
        <v>77.94</v>
      </c>
      <c r="D193" s="12">
        <v>5.94</v>
      </c>
      <c r="E193" s="15" t="s">
        <v>11</v>
      </c>
      <c r="F193" s="34">
        <f>120+C181+C183+C185+2495+C190+7.17+C193+C187</f>
        <v>2950.8900000000003</v>
      </c>
      <c r="G193" s="34">
        <v>3167.99</v>
      </c>
      <c r="H193" s="161" t="s">
        <v>462</v>
      </c>
      <c r="I193" s="10"/>
    </row>
    <row r="194" spans="1:9" x14ac:dyDescent="0.2">
      <c r="A194" s="10">
        <v>17725</v>
      </c>
      <c r="B194" s="11">
        <v>42271</v>
      </c>
      <c r="C194" s="12">
        <v>5.36</v>
      </c>
      <c r="D194" s="12">
        <v>0.41</v>
      </c>
      <c r="E194" s="17"/>
      <c r="F194" s="18"/>
      <c r="G194" s="19"/>
      <c r="H194" s="12"/>
      <c r="I194" s="10"/>
    </row>
    <row r="195" spans="1:9" x14ac:dyDescent="0.2">
      <c r="A195" s="10">
        <v>17726</v>
      </c>
      <c r="B195" s="11">
        <v>42271</v>
      </c>
      <c r="C195" s="12">
        <v>192</v>
      </c>
      <c r="D195" s="12"/>
      <c r="E195" s="162" t="s">
        <v>271</v>
      </c>
      <c r="F195" s="21"/>
      <c r="G195" s="22"/>
      <c r="H195" s="10"/>
      <c r="I195" s="10"/>
    </row>
    <row r="196" spans="1:9" x14ac:dyDescent="0.2">
      <c r="A196" s="10">
        <v>17727</v>
      </c>
      <c r="B196" s="11">
        <v>42271</v>
      </c>
      <c r="C196" s="12">
        <v>2.71</v>
      </c>
      <c r="D196" s="12">
        <v>0.21</v>
      </c>
      <c r="E196" s="13"/>
      <c r="F196" s="18"/>
      <c r="G196" s="19"/>
      <c r="H196" s="12"/>
      <c r="I196" s="10"/>
    </row>
    <row r="197" spans="1:9" x14ac:dyDescent="0.2">
      <c r="A197" s="10">
        <v>17728</v>
      </c>
      <c r="B197" s="11">
        <v>42271</v>
      </c>
      <c r="C197" s="12">
        <v>11</v>
      </c>
      <c r="D197" s="12">
        <v>0.84</v>
      </c>
      <c r="E197" s="13"/>
      <c r="F197" s="18"/>
      <c r="G197" s="19"/>
      <c r="H197" s="12"/>
      <c r="I197" s="10"/>
    </row>
    <row r="198" spans="1:9" x14ac:dyDescent="0.2">
      <c r="A198" s="10">
        <v>17729</v>
      </c>
      <c r="B198" s="11">
        <v>42271</v>
      </c>
      <c r="C198" s="12">
        <v>206.22</v>
      </c>
      <c r="D198" s="12">
        <v>15.72</v>
      </c>
      <c r="E198" s="13"/>
      <c r="F198" s="18"/>
      <c r="G198" s="19"/>
      <c r="H198" s="12"/>
      <c r="I198" s="10"/>
    </row>
    <row r="199" spans="1:9" x14ac:dyDescent="0.2">
      <c r="A199" s="10">
        <v>17730</v>
      </c>
      <c r="B199" s="11">
        <v>42271</v>
      </c>
      <c r="C199" s="12">
        <v>47.680000000000007</v>
      </c>
      <c r="D199" s="12">
        <v>3.63</v>
      </c>
      <c r="E199" s="13"/>
      <c r="F199" s="18"/>
      <c r="G199" s="19"/>
      <c r="H199" s="12"/>
      <c r="I199" s="10"/>
    </row>
    <row r="200" spans="1:9" x14ac:dyDescent="0.2">
      <c r="A200" s="10">
        <v>17731</v>
      </c>
      <c r="B200" s="11">
        <v>42271</v>
      </c>
      <c r="C200" s="12">
        <v>510.4</v>
      </c>
      <c r="D200" s="12">
        <v>38.9</v>
      </c>
      <c r="E200" s="15" t="s">
        <v>463</v>
      </c>
      <c r="H200" s="10"/>
      <c r="I200" s="10"/>
    </row>
    <row r="201" spans="1:9" x14ac:dyDescent="0.2">
      <c r="A201" s="10">
        <v>17732</v>
      </c>
      <c r="B201" s="11">
        <v>42271</v>
      </c>
      <c r="C201" s="12">
        <v>149.38999999999999</v>
      </c>
      <c r="D201" s="12">
        <v>11.39</v>
      </c>
      <c r="E201" s="15" t="s">
        <v>11</v>
      </c>
      <c r="H201" s="10"/>
      <c r="I201" s="10"/>
    </row>
    <row r="202" spans="1:9" x14ac:dyDescent="0.2">
      <c r="A202" s="10">
        <v>17733</v>
      </c>
      <c r="B202" s="11">
        <v>42271</v>
      </c>
      <c r="C202" s="12">
        <v>20</v>
      </c>
      <c r="D202" s="12">
        <v>1.52</v>
      </c>
      <c r="E202" s="17"/>
      <c r="H202" s="12"/>
      <c r="I202" s="10"/>
    </row>
    <row r="203" spans="1:9" x14ac:dyDescent="0.2">
      <c r="A203" s="10">
        <v>17734</v>
      </c>
      <c r="B203" s="11">
        <v>42271</v>
      </c>
      <c r="C203" s="12">
        <v>147.76</v>
      </c>
      <c r="D203" s="12">
        <v>11.26</v>
      </c>
      <c r="E203" s="15" t="s">
        <v>21</v>
      </c>
      <c r="H203" s="10"/>
      <c r="I203" s="10"/>
    </row>
    <row r="204" spans="1:9" x14ac:dyDescent="0.2">
      <c r="A204" s="10">
        <v>17735</v>
      </c>
      <c r="B204" s="11">
        <v>42271</v>
      </c>
      <c r="C204" s="12">
        <v>20</v>
      </c>
      <c r="D204" s="12">
        <v>1.52</v>
      </c>
      <c r="E204" s="17"/>
      <c r="F204" s="34">
        <f>250+C201</f>
        <v>399.39</v>
      </c>
      <c r="G204" s="34">
        <v>536.14</v>
      </c>
      <c r="H204" s="161" t="s">
        <v>462</v>
      </c>
      <c r="I204" s="10"/>
    </row>
    <row r="205" spans="1:9" x14ac:dyDescent="0.2">
      <c r="A205" s="10">
        <v>17736</v>
      </c>
      <c r="B205" s="11">
        <v>42272</v>
      </c>
      <c r="C205" s="12">
        <v>54.13</v>
      </c>
      <c r="D205" s="12">
        <v>4.13</v>
      </c>
      <c r="E205" s="17"/>
      <c r="F205" s="18"/>
      <c r="G205" s="19"/>
      <c r="H205" s="12"/>
      <c r="I205" s="10"/>
    </row>
    <row r="206" spans="1:9" x14ac:dyDescent="0.2">
      <c r="A206" s="10">
        <v>17737</v>
      </c>
      <c r="B206" s="11">
        <v>42272</v>
      </c>
      <c r="C206" s="12">
        <v>10.83</v>
      </c>
      <c r="D206" s="12">
        <v>0.83</v>
      </c>
      <c r="E206" s="15" t="s">
        <v>7</v>
      </c>
      <c r="F206" s="21"/>
      <c r="G206" s="22"/>
      <c r="H206" s="10"/>
      <c r="I206" s="10"/>
    </row>
    <row r="207" spans="1:9" x14ac:dyDescent="0.2">
      <c r="A207" s="10">
        <v>17738</v>
      </c>
      <c r="B207" s="11">
        <v>42272</v>
      </c>
      <c r="C207" s="12">
        <v>5</v>
      </c>
      <c r="D207" s="12">
        <v>0.38</v>
      </c>
      <c r="E207" s="17"/>
      <c r="H207" s="12"/>
      <c r="I207" s="10"/>
    </row>
    <row r="208" spans="1:9" x14ac:dyDescent="0.2">
      <c r="A208" s="10">
        <v>17739</v>
      </c>
      <c r="B208" s="11">
        <v>42272</v>
      </c>
      <c r="C208" s="12">
        <v>153.72</v>
      </c>
      <c r="D208" s="12">
        <v>11.72</v>
      </c>
      <c r="E208" s="162" t="s">
        <v>21</v>
      </c>
      <c r="F208" s="21"/>
      <c r="G208" s="22"/>
      <c r="H208" s="10"/>
      <c r="I208" s="10"/>
    </row>
    <row r="209" spans="1:9" x14ac:dyDescent="0.2">
      <c r="A209" s="10">
        <v>17740</v>
      </c>
      <c r="B209" s="11">
        <v>42272</v>
      </c>
      <c r="C209" s="12">
        <v>121.24</v>
      </c>
      <c r="D209" s="12">
        <v>9.24</v>
      </c>
      <c r="E209" s="15" t="s">
        <v>11</v>
      </c>
      <c r="F209" s="21"/>
      <c r="G209" s="22"/>
      <c r="H209" s="10"/>
      <c r="I209" s="10"/>
    </row>
    <row r="210" spans="1:9" x14ac:dyDescent="0.2">
      <c r="A210" s="10">
        <v>17741</v>
      </c>
      <c r="B210" s="11">
        <v>42272</v>
      </c>
      <c r="C210" s="12">
        <v>5.41</v>
      </c>
      <c r="D210" s="12">
        <v>0.41</v>
      </c>
      <c r="E210" s="15" t="s">
        <v>11</v>
      </c>
      <c r="H210" s="10"/>
      <c r="I210" s="10"/>
    </row>
    <row r="211" spans="1:9" x14ac:dyDescent="0.2">
      <c r="A211" s="10">
        <v>17742</v>
      </c>
      <c r="B211" s="11">
        <v>42272</v>
      </c>
      <c r="C211" s="12">
        <v>216.5</v>
      </c>
      <c r="D211" s="12">
        <v>16.5</v>
      </c>
      <c r="E211" s="15"/>
      <c r="H211" s="10"/>
      <c r="I211" s="10"/>
    </row>
    <row r="212" spans="1:9" x14ac:dyDescent="0.2">
      <c r="A212" s="10">
        <v>17743</v>
      </c>
      <c r="B212" s="11">
        <v>42272</v>
      </c>
      <c r="C212" s="12">
        <v>-25.98</v>
      </c>
      <c r="D212" s="12">
        <v>-1.98</v>
      </c>
      <c r="E212" s="17"/>
      <c r="F212" s="18"/>
      <c r="G212" s="19"/>
      <c r="H212" s="12"/>
      <c r="I212" s="10"/>
    </row>
    <row r="213" spans="1:9" x14ac:dyDescent="0.2">
      <c r="A213" s="10">
        <v>17744</v>
      </c>
      <c r="B213" s="11">
        <v>42272</v>
      </c>
      <c r="C213" s="12">
        <v>0</v>
      </c>
      <c r="D213" s="12"/>
      <c r="E213" s="15" t="s">
        <v>87</v>
      </c>
      <c r="F213" s="21"/>
      <c r="G213" s="22"/>
      <c r="H213" s="10"/>
      <c r="I213" s="10"/>
    </row>
    <row r="214" spans="1:9" x14ac:dyDescent="0.2">
      <c r="A214" s="10">
        <v>17745</v>
      </c>
      <c r="B214" s="11">
        <v>42272</v>
      </c>
      <c r="C214" s="12">
        <v>2.44</v>
      </c>
      <c r="D214" s="12">
        <v>0.19</v>
      </c>
      <c r="E214" s="17"/>
      <c r="H214" s="12"/>
      <c r="I214" s="10"/>
    </row>
    <row r="215" spans="1:9" x14ac:dyDescent="0.2">
      <c r="A215" s="10">
        <v>17746</v>
      </c>
      <c r="B215" s="11">
        <v>42272</v>
      </c>
      <c r="C215" s="12">
        <v>24.5</v>
      </c>
      <c r="D215" s="12"/>
      <c r="E215" s="15" t="s">
        <v>7</v>
      </c>
      <c r="H215" s="10"/>
      <c r="I215" s="10"/>
    </row>
    <row r="216" spans="1:9" x14ac:dyDescent="0.2">
      <c r="A216" s="10">
        <v>17747</v>
      </c>
      <c r="B216" s="11">
        <v>42272</v>
      </c>
      <c r="C216" s="12">
        <v>37.89</v>
      </c>
      <c r="D216" s="12">
        <v>2.89</v>
      </c>
      <c r="E216" s="15" t="s">
        <v>11</v>
      </c>
      <c r="F216" s="34">
        <f>+C206+C209+C210+C216</f>
        <v>175.37</v>
      </c>
      <c r="G216" s="34">
        <v>173.24</v>
      </c>
      <c r="H216" s="10"/>
      <c r="I216" s="10"/>
    </row>
    <row r="217" spans="1:9" x14ac:dyDescent="0.2">
      <c r="A217" s="10">
        <v>17748</v>
      </c>
      <c r="B217" s="11">
        <v>42273</v>
      </c>
      <c r="C217" s="12">
        <v>116.91</v>
      </c>
      <c r="D217" s="12">
        <v>8.91</v>
      </c>
      <c r="E217" s="15" t="s">
        <v>7</v>
      </c>
      <c r="H217" s="10"/>
      <c r="I217" s="10"/>
    </row>
    <row r="218" spans="1:9" x14ac:dyDescent="0.2">
      <c r="A218" s="10">
        <v>17749</v>
      </c>
      <c r="B218" s="11">
        <v>42273</v>
      </c>
      <c r="C218" s="12">
        <v>81.19</v>
      </c>
      <c r="D218" s="12">
        <v>6.19</v>
      </c>
      <c r="E218" s="15" t="s">
        <v>11</v>
      </c>
      <c r="H218" s="10"/>
      <c r="I218" s="10"/>
    </row>
    <row r="219" spans="1:9" x14ac:dyDescent="0.2">
      <c r="A219" s="10">
        <v>17750</v>
      </c>
      <c r="B219" s="11">
        <v>42273</v>
      </c>
      <c r="C219" s="12">
        <v>316.63</v>
      </c>
      <c r="D219" s="12">
        <v>24.13</v>
      </c>
      <c r="E219" s="162"/>
      <c r="H219" s="10"/>
      <c r="I219" s="10"/>
    </row>
    <row r="220" spans="1:9" x14ac:dyDescent="0.2">
      <c r="A220" s="10">
        <v>17751</v>
      </c>
      <c r="B220" s="11">
        <v>42273</v>
      </c>
      <c r="C220" s="12">
        <v>46.49</v>
      </c>
      <c r="D220" s="12">
        <v>3.54</v>
      </c>
      <c r="E220" s="15" t="s">
        <v>11</v>
      </c>
      <c r="H220" s="10"/>
      <c r="I220" s="10"/>
    </row>
    <row r="221" spans="1:9" x14ac:dyDescent="0.2">
      <c r="A221" s="10">
        <v>17752</v>
      </c>
      <c r="B221" s="11">
        <v>42273</v>
      </c>
      <c r="C221" s="12">
        <v>95.59</v>
      </c>
      <c r="D221" s="12"/>
      <c r="E221" s="13" t="s">
        <v>453</v>
      </c>
      <c r="H221" s="12"/>
      <c r="I221" s="10"/>
    </row>
    <row r="222" spans="1:9" x14ac:dyDescent="0.2">
      <c r="A222" s="10">
        <v>17753</v>
      </c>
      <c r="B222" s="11">
        <v>42273</v>
      </c>
      <c r="C222" s="12">
        <v>187.64000000000001</v>
      </c>
      <c r="D222" s="12"/>
      <c r="E222" s="15" t="s">
        <v>365</v>
      </c>
      <c r="H222" s="10"/>
      <c r="I222" s="10"/>
    </row>
    <row r="223" spans="1:9" x14ac:dyDescent="0.2">
      <c r="A223" s="10">
        <v>17754</v>
      </c>
      <c r="B223" s="11">
        <v>42273</v>
      </c>
      <c r="C223" s="12">
        <v>135.31</v>
      </c>
      <c r="D223" s="12">
        <v>10.31</v>
      </c>
      <c r="E223" s="17"/>
      <c r="F223" s="18"/>
      <c r="G223" s="19"/>
      <c r="H223" s="12"/>
      <c r="I223" s="10"/>
    </row>
    <row r="224" spans="1:9" x14ac:dyDescent="0.2">
      <c r="A224" s="10">
        <v>17755</v>
      </c>
      <c r="B224" s="11">
        <v>42273</v>
      </c>
      <c r="C224" s="12">
        <v>339.47</v>
      </c>
      <c r="D224" s="12">
        <v>25.87</v>
      </c>
      <c r="E224" s="15" t="s">
        <v>7</v>
      </c>
      <c r="H224" s="10"/>
      <c r="I224" s="10"/>
    </row>
    <row r="225" spans="1:9" x14ac:dyDescent="0.2">
      <c r="A225" s="10">
        <v>17756</v>
      </c>
      <c r="B225" s="11">
        <v>42273</v>
      </c>
      <c r="C225" s="12">
        <v>230</v>
      </c>
      <c r="D225" s="12"/>
      <c r="E225" s="13" t="s">
        <v>432</v>
      </c>
      <c r="F225" s="34">
        <f>+C218+C220+C224</f>
        <v>467.15000000000003</v>
      </c>
      <c r="G225" s="34">
        <v>461.28</v>
      </c>
      <c r="H225" s="12"/>
      <c r="I225" s="10"/>
    </row>
    <row r="226" spans="1:9" x14ac:dyDescent="0.2">
      <c r="A226" s="10">
        <v>17757</v>
      </c>
      <c r="B226" s="11">
        <v>42275</v>
      </c>
      <c r="C226" s="12">
        <v>43.19</v>
      </c>
      <c r="D226" s="12">
        <v>3.29</v>
      </c>
      <c r="E226" s="15" t="s">
        <v>7</v>
      </c>
      <c r="F226" s="21"/>
      <c r="G226" s="22"/>
      <c r="H226" s="10"/>
      <c r="I226" s="10"/>
    </row>
    <row r="227" spans="1:9" x14ac:dyDescent="0.2">
      <c r="A227" s="10">
        <v>17758</v>
      </c>
      <c r="B227" s="11">
        <v>42275</v>
      </c>
      <c r="C227" s="12">
        <v>19.05</v>
      </c>
      <c r="D227" s="12">
        <v>1.45</v>
      </c>
      <c r="E227" s="17"/>
      <c r="H227" s="12"/>
      <c r="I227" s="10"/>
    </row>
    <row r="228" spans="1:9" x14ac:dyDescent="0.2">
      <c r="A228" s="10">
        <v>17759</v>
      </c>
      <c r="B228" s="11">
        <v>42275</v>
      </c>
      <c r="C228" s="12">
        <v>43.3</v>
      </c>
      <c r="D228" s="12">
        <v>3.3</v>
      </c>
      <c r="E228" s="15" t="s">
        <v>7</v>
      </c>
      <c r="H228" s="10"/>
      <c r="I228" s="10"/>
    </row>
    <row r="229" spans="1:9" x14ac:dyDescent="0.2">
      <c r="A229" s="10">
        <v>17760</v>
      </c>
      <c r="B229" s="11">
        <v>42275</v>
      </c>
      <c r="C229" s="12">
        <v>57</v>
      </c>
      <c r="D229" s="12"/>
      <c r="E229" s="13" t="s">
        <v>8</v>
      </c>
      <c r="H229" s="12"/>
      <c r="I229" s="10"/>
    </row>
    <row r="230" spans="1:9" x14ac:dyDescent="0.2">
      <c r="A230" s="10">
        <v>17761</v>
      </c>
      <c r="B230" s="11">
        <v>42275</v>
      </c>
      <c r="C230" s="12">
        <v>86.6</v>
      </c>
      <c r="D230" s="12">
        <v>6.6</v>
      </c>
      <c r="E230" s="17"/>
      <c r="F230" s="18"/>
      <c r="G230" s="19"/>
      <c r="H230" s="12"/>
      <c r="I230" s="10"/>
    </row>
    <row r="231" spans="1:9" x14ac:dyDescent="0.2">
      <c r="A231" s="10">
        <v>17762</v>
      </c>
      <c r="B231" s="11">
        <v>42275</v>
      </c>
      <c r="C231" s="12">
        <v>96.34</v>
      </c>
      <c r="D231" s="12">
        <v>7.34</v>
      </c>
      <c r="E231" s="162" t="s">
        <v>464</v>
      </c>
      <c r="H231" s="10"/>
      <c r="I231" s="10"/>
    </row>
    <row r="232" spans="1:9" x14ac:dyDescent="0.2">
      <c r="A232" s="10">
        <v>17763</v>
      </c>
      <c r="B232" s="11">
        <v>42275</v>
      </c>
      <c r="C232" s="12">
        <v>169.41</v>
      </c>
      <c r="D232" s="12">
        <v>12.91</v>
      </c>
      <c r="E232" s="15" t="s">
        <v>7</v>
      </c>
      <c r="H232" s="10"/>
      <c r="I232" s="10"/>
    </row>
    <row r="233" spans="1:9" x14ac:dyDescent="0.2">
      <c r="A233" s="10">
        <v>17764</v>
      </c>
      <c r="B233" s="11">
        <v>42275</v>
      </c>
      <c r="C233" s="12">
        <v>453.57</v>
      </c>
      <c r="D233" s="12">
        <v>34.57</v>
      </c>
      <c r="E233" s="15" t="s">
        <v>11</v>
      </c>
      <c r="H233" s="10"/>
      <c r="I233" s="10"/>
    </row>
    <row r="234" spans="1:9" x14ac:dyDescent="0.2">
      <c r="A234" s="10">
        <v>17765</v>
      </c>
      <c r="B234" s="11">
        <v>42275</v>
      </c>
      <c r="C234" s="12">
        <v>21.599999999999998</v>
      </c>
      <c r="D234" s="12">
        <v>1.65</v>
      </c>
      <c r="E234" s="15" t="s">
        <v>7</v>
      </c>
      <c r="H234" s="10"/>
      <c r="I234" s="10"/>
    </row>
    <row r="235" spans="1:9" x14ac:dyDescent="0.2">
      <c r="A235" s="10">
        <v>17766</v>
      </c>
      <c r="B235" s="11">
        <v>42275</v>
      </c>
      <c r="C235" s="12">
        <v>32.479999999999997</v>
      </c>
      <c r="D235" s="12">
        <v>2.48</v>
      </c>
      <c r="E235" s="162"/>
      <c r="H235" s="10"/>
      <c r="I235" s="10"/>
    </row>
    <row r="236" spans="1:9" x14ac:dyDescent="0.2">
      <c r="A236" s="10">
        <v>17767</v>
      </c>
      <c r="B236" s="11">
        <v>42275</v>
      </c>
      <c r="C236" s="12">
        <v>9.85</v>
      </c>
      <c r="D236" s="12"/>
      <c r="E236" s="13" t="s">
        <v>453</v>
      </c>
      <c r="F236" s="18"/>
      <c r="G236" s="19"/>
      <c r="H236" s="12"/>
      <c r="I236" s="10"/>
    </row>
    <row r="237" spans="1:9" x14ac:dyDescent="0.2">
      <c r="A237" s="10">
        <v>17768</v>
      </c>
      <c r="B237" s="11">
        <v>42275</v>
      </c>
      <c r="C237" s="12">
        <v>340</v>
      </c>
      <c r="D237" s="12">
        <v>25.91</v>
      </c>
      <c r="E237" s="162"/>
      <c r="H237" s="10"/>
      <c r="I237" s="10"/>
    </row>
    <row r="238" spans="1:9" x14ac:dyDescent="0.2">
      <c r="A238" s="10">
        <v>17769</v>
      </c>
      <c r="B238" s="11">
        <v>42275</v>
      </c>
      <c r="C238" s="12">
        <v>19.45</v>
      </c>
      <c r="D238" s="12">
        <v>1.48</v>
      </c>
      <c r="E238" s="162" t="s">
        <v>61</v>
      </c>
      <c r="F238" s="21"/>
      <c r="G238" s="22"/>
      <c r="H238" s="10"/>
      <c r="I238" s="10"/>
    </row>
    <row r="239" spans="1:9" x14ac:dyDescent="0.2">
      <c r="A239" s="10">
        <v>17770</v>
      </c>
      <c r="B239" s="11">
        <v>42275</v>
      </c>
      <c r="C239" s="12">
        <v>23.27</v>
      </c>
      <c r="D239" s="12">
        <v>1.77</v>
      </c>
      <c r="E239" s="15" t="s">
        <v>11</v>
      </c>
      <c r="H239" s="10"/>
      <c r="I239" s="10"/>
    </row>
    <row r="240" spans="1:9" x14ac:dyDescent="0.2">
      <c r="A240" s="10">
        <v>17771</v>
      </c>
      <c r="B240" s="11">
        <v>42275</v>
      </c>
      <c r="C240" s="12">
        <v>81</v>
      </c>
      <c r="D240" s="12">
        <v>6.17</v>
      </c>
      <c r="E240" s="163"/>
      <c r="F240" s="34">
        <f>+C217+C226+C228+C234+C215+C188+C233+169.41</f>
        <v>973.4799999999999</v>
      </c>
      <c r="G240" s="34">
        <v>958.96</v>
      </c>
      <c r="H240" s="12"/>
      <c r="I240" s="10"/>
    </row>
    <row r="241" spans="1:12" x14ac:dyDescent="0.2">
      <c r="A241" s="10">
        <v>17772</v>
      </c>
      <c r="B241" s="11">
        <v>42276</v>
      </c>
      <c r="C241" s="12">
        <v>74.69</v>
      </c>
      <c r="D241" s="12">
        <v>5.69</v>
      </c>
      <c r="E241" s="17"/>
      <c r="F241" s="18"/>
      <c r="G241" s="19"/>
      <c r="H241" s="12"/>
      <c r="I241" s="10"/>
    </row>
    <row r="242" spans="1:12" x14ac:dyDescent="0.2">
      <c r="A242" s="10">
        <v>17773</v>
      </c>
      <c r="B242" s="11">
        <v>42276</v>
      </c>
      <c r="C242" s="12">
        <v>154.80000000000001</v>
      </c>
      <c r="D242" s="12">
        <v>11.8</v>
      </c>
      <c r="E242" s="15"/>
      <c r="H242" s="10"/>
      <c r="I242" s="10"/>
    </row>
    <row r="243" spans="1:12" x14ac:dyDescent="0.2">
      <c r="A243" s="10">
        <v>17774</v>
      </c>
      <c r="B243" s="11">
        <v>42276</v>
      </c>
      <c r="C243" s="12">
        <v>12.99</v>
      </c>
      <c r="D243" s="12">
        <v>0.99</v>
      </c>
      <c r="E243" s="15" t="s">
        <v>11</v>
      </c>
      <c r="H243" s="10"/>
      <c r="I243" s="10"/>
    </row>
    <row r="244" spans="1:12" x14ac:dyDescent="0.2">
      <c r="A244" s="10">
        <v>17775</v>
      </c>
      <c r="B244" s="11">
        <v>42276</v>
      </c>
      <c r="C244" s="12">
        <v>178.61</v>
      </c>
      <c r="D244" s="12">
        <v>13.61</v>
      </c>
      <c r="E244" s="17"/>
      <c r="H244" s="12"/>
      <c r="I244" s="10"/>
    </row>
    <row r="245" spans="1:12" x14ac:dyDescent="0.2">
      <c r="A245" s="10">
        <v>17776</v>
      </c>
      <c r="B245" s="11">
        <v>42276</v>
      </c>
      <c r="C245" s="12">
        <v>278.70999999999998</v>
      </c>
      <c r="D245" s="12">
        <v>20.71</v>
      </c>
      <c r="E245" s="15" t="s">
        <v>11</v>
      </c>
      <c r="H245" s="10"/>
      <c r="I245" s="10"/>
    </row>
    <row r="246" spans="1:12" x14ac:dyDescent="0.2">
      <c r="A246" s="10">
        <v>17777</v>
      </c>
      <c r="B246" s="11">
        <v>42276</v>
      </c>
      <c r="C246" s="12">
        <v>50.88</v>
      </c>
      <c r="D246" s="12">
        <v>3.88</v>
      </c>
      <c r="E246" s="17"/>
      <c r="H246" s="12"/>
      <c r="I246" s="10"/>
    </row>
    <row r="247" spans="1:12" x14ac:dyDescent="0.2">
      <c r="A247" s="10">
        <v>17778</v>
      </c>
      <c r="B247" s="11">
        <v>42276</v>
      </c>
      <c r="C247" s="12">
        <v>5</v>
      </c>
      <c r="D247" s="12">
        <v>0.38</v>
      </c>
      <c r="E247" s="17"/>
      <c r="F247" s="34">
        <f>+C239+C243</f>
        <v>36.26</v>
      </c>
      <c r="G247" s="34">
        <v>35.5</v>
      </c>
      <c r="H247" s="12"/>
      <c r="I247" s="10"/>
    </row>
    <row r="248" spans="1:12" x14ac:dyDescent="0.2">
      <c r="A248" s="10">
        <v>17779</v>
      </c>
      <c r="B248" s="11">
        <v>42277</v>
      </c>
      <c r="C248" s="12">
        <v>113.66</v>
      </c>
      <c r="D248" s="12">
        <v>8.66</v>
      </c>
      <c r="E248" s="15" t="s">
        <v>7</v>
      </c>
      <c r="H248" s="10"/>
      <c r="I248" s="10"/>
    </row>
    <row r="249" spans="1:12" x14ac:dyDescent="0.2">
      <c r="A249" s="10">
        <v>17780</v>
      </c>
      <c r="B249" s="11">
        <v>42277</v>
      </c>
      <c r="C249" s="12">
        <v>227.32999999999998</v>
      </c>
      <c r="D249" s="12">
        <v>17.329999999999998</v>
      </c>
      <c r="E249" s="15" t="s">
        <v>465</v>
      </c>
      <c r="H249" s="10"/>
      <c r="I249" s="10"/>
    </row>
    <row r="250" spans="1:12" x14ac:dyDescent="0.2">
      <c r="A250" s="10">
        <v>17781</v>
      </c>
      <c r="B250" s="11">
        <v>42277</v>
      </c>
      <c r="C250" s="12">
        <v>29.23</v>
      </c>
      <c r="D250" s="12">
        <v>2.23</v>
      </c>
      <c r="E250" s="17"/>
      <c r="H250" s="12"/>
      <c r="I250" s="10"/>
    </row>
    <row r="251" spans="1:12" x14ac:dyDescent="0.2">
      <c r="A251" s="10">
        <v>17782</v>
      </c>
      <c r="B251" s="11">
        <v>42277</v>
      </c>
      <c r="C251" s="12">
        <v>10.83</v>
      </c>
      <c r="D251" s="12">
        <v>0.83</v>
      </c>
      <c r="E251" s="15" t="s">
        <v>21</v>
      </c>
      <c r="F251" s="21"/>
      <c r="G251" s="22"/>
      <c r="H251" s="10"/>
      <c r="I251" s="10"/>
    </row>
    <row r="252" spans="1:12" x14ac:dyDescent="0.2">
      <c r="A252" s="10">
        <v>17783</v>
      </c>
      <c r="B252" s="11">
        <v>42277</v>
      </c>
      <c r="C252" s="12">
        <v>17</v>
      </c>
      <c r="D252" s="12"/>
      <c r="E252" s="15" t="s">
        <v>19</v>
      </c>
      <c r="F252" s="21"/>
      <c r="G252" s="22"/>
      <c r="H252" s="10"/>
      <c r="I252" s="10"/>
    </row>
    <row r="253" spans="1:12" x14ac:dyDescent="0.2">
      <c r="A253" s="10">
        <v>17784</v>
      </c>
      <c r="B253" s="11">
        <v>42277</v>
      </c>
      <c r="C253" s="12">
        <v>20</v>
      </c>
      <c r="D253" s="12">
        <v>1.52</v>
      </c>
      <c r="E253" s="13"/>
      <c r="F253" s="18"/>
      <c r="G253" s="19"/>
      <c r="H253" s="12"/>
      <c r="I253" s="10"/>
    </row>
    <row r="254" spans="1:12" x14ac:dyDescent="0.2">
      <c r="A254" s="10">
        <v>17785</v>
      </c>
      <c r="B254" s="11">
        <v>42277</v>
      </c>
      <c r="C254" s="12">
        <v>40.700000000000003</v>
      </c>
      <c r="D254" s="12">
        <v>3.1</v>
      </c>
      <c r="E254" s="15" t="s">
        <v>11</v>
      </c>
      <c r="F254" s="34">
        <f>+C248+C245+187.33+C254</f>
        <v>620.40000000000009</v>
      </c>
      <c r="G254" s="34">
        <v>612.66999999999996</v>
      </c>
      <c r="H254" s="10"/>
      <c r="I254" s="10"/>
    </row>
    <row r="255" spans="1:12" x14ac:dyDescent="0.2">
      <c r="A255" s="100"/>
      <c r="B255" s="164"/>
      <c r="C255" s="165"/>
      <c r="D255" s="164"/>
      <c r="E255" s="164"/>
      <c r="F255" s="46"/>
      <c r="K255" s="126"/>
      <c r="L255" s="126"/>
    </row>
    <row r="256" spans="1:12" x14ac:dyDescent="0.2">
      <c r="E256" s="26"/>
      <c r="G256" s="126"/>
      <c r="H256" s="10"/>
      <c r="I256" s="5"/>
      <c r="J256" s="27"/>
      <c r="K256" s="150"/>
      <c r="L256" s="126"/>
    </row>
    <row r="257" spans="5:12" x14ac:dyDescent="0.2">
      <c r="E257" s="26"/>
      <c r="G257" s="126"/>
      <c r="H257" s="12"/>
      <c r="I257" s="5"/>
      <c r="J257" s="27"/>
      <c r="K257" s="150"/>
      <c r="L257" s="126"/>
    </row>
    <row r="258" spans="5:12" x14ac:dyDescent="0.2">
      <c r="E258" s="26"/>
      <c r="G258" s="126"/>
      <c r="H258" s="12"/>
      <c r="I258" s="5"/>
      <c r="J258" s="27"/>
      <c r="K258" s="150"/>
      <c r="L258" s="126"/>
    </row>
    <row r="259" spans="5:12" x14ac:dyDescent="0.2">
      <c r="E259" s="26"/>
      <c r="G259" s="126"/>
      <c r="H259" s="10"/>
      <c r="I259" s="5"/>
      <c r="J259" s="27"/>
      <c r="K259" s="150"/>
      <c r="L259" s="126"/>
    </row>
    <row r="260" spans="5:12" x14ac:dyDescent="0.2">
      <c r="E260" s="26"/>
      <c r="G260" s="126"/>
      <c r="H260" s="10"/>
      <c r="I260" s="5"/>
      <c r="J260" s="27"/>
      <c r="K260" s="150"/>
      <c r="L260" s="126"/>
    </row>
    <row r="261" spans="5:12" x14ac:dyDescent="0.2">
      <c r="E261" s="26"/>
      <c r="G261" s="126"/>
      <c r="H261" s="12"/>
      <c r="I261" s="5"/>
      <c r="J261" s="27"/>
      <c r="K261" s="150"/>
      <c r="L261" s="126"/>
    </row>
    <row r="262" spans="5:12" x14ac:dyDescent="0.2">
      <c r="E262" s="26"/>
      <c r="G262" s="126"/>
      <c r="H262" s="12"/>
      <c r="I262" s="5"/>
      <c r="J262" s="27"/>
      <c r="K262" s="150"/>
      <c r="L262" s="126"/>
    </row>
    <row r="263" spans="5:12" x14ac:dyDescent="0.2">
      <c r="E263" s="26"/>
      <c r="G263" s="126"/>
      <c r="H263" s="10"/>
      <c r="I263" s="5"/>
      <c r="J263" s="27"/>
      <c r="K263" s="150"/>
      <c r="L263" s="126"/>
    </row>
    <row r="264" spans="5:12" x14ac:dyDescent="0.2">
      <c r="E264" s="26"/>
      <c r="G264" s="126"/>
      <c r="H264" s="12"/>
      <c r="I264" s="5"/>
      <c r="J264" s="27"/>
      <c r="K264" s="150"/>
      <c r="L264" s="126"/>
    </row>
    <row r="265" spans="5:12" x14ac:dyDescent="0.2">
      <c r="E265" s="26"/>
      <c r="G265" s="126"/>
      <c r="H265" s="127"/>
      <c r="I265" s="159"/>
      <c r="J265" s="150"/>
      <c r="K265" s="150"/>
      <c r="L265" s="126"/>
    </row>
    <row r="266" spans="5:12" x14ac:dyDescent="0.2">
      <c r="E266" s="26"/>
      <c r="G266" s="126"/>
      <c r="H266" s="127"/>
      <c r="I266" s="159"/>
      <c r="J266" s="150"/>
      <c r="K266" s="150"/>
      <c r="L266" s="126"/>
    </row>
    <row r="267" spans="5:12" x14ac:dyDescent="0.2">
      <c r="E267" s="26"/>
      <c r="G267" s="126"/>
      <c r="H267" s="127"/>
      <c r="I267" s="159"/>
      <c r="J267" s="150"/>
      <c r="K267" s="150"/>
      <c r="L267" s="126"/>
    </row>
    <row r="268" spans="5:12" x14ac:dyDescent="0.2">
      <c r="E268" s="26"/>
      <c r="G268" s="126"/>
      <c r="H268" s="127"/>
      <c r="I268" s="159"/>
      <c r="J268" s="150"/>
      <c r="K268" s="150"/>
      <c r="L268" s="126"/>
    </row>
    <row r="269" spans="5:12" x14ac:dyDescent="0.2">
      <c r="E269" s="26"/>
      <c r="G269" s="126"/>
      <c r="H269" s="127"/>
      <c r="I269" s="159"/>
      <c r="J269" s="150"/>
      <c r="K269" s="150"/>
      <c r="L269" s="126"/>
    </row>
    <row r="270" spans="5:12" x14ac:dyDescent="0.2">
      <c r="E270" s="26"/>
      <c r="G270" s="126"/>
      <c r="H270" s="110"/>
      <c r="I270" s="126"/>
      <c r="J270" s="150"/>
      <c r="K270" s="126"/>
      <c r="L270" s="126"/>
    </row>
    <row r="271" spans="5:12" x14ac:dyDescent="0.2">
      <c r="E271" s="26"/>
      <c r="G271" s="126"/>
      <c r="H271" s="110"/>
      <c r="I271" s="126"/>
      <c r="J271" s="126"/>
      <c r="K271" s="126"/>
      <c r="L271" s="126"/>
    </row>
    <row r="272" spans="5:12" x14ac:dyDescent="0.2">
      <c r="E272" s="26"/>
      <c r="G272" s="126"/>
      <c r="H272" s="110"/>
      <c r="I272" s="126"/>
      <c r="J272" s="126"/>
      <c r="K272" s="126"/>
      <c r="L272" s="126"/>
    </row>
    <row r="273" spans="5:12" x14ac:dyDescent="0.2">
      <c r="E273" s="26"/>
      <c r="G273" s="126"/>
      <c r="H273" s="110"/>
      <c r="I273" s="126"/>
      <c r="J273" s="126"/>
      <c r="K273" s="126"/>
      <c r="L273" s="126"/>
    </row>
    <row r="274" spans="5:12" x14ac:dyDescent="0.2">
      <c r="E274" s="26"/>
      <c r="G274" s="126"/>
      <c r="H274" s="110"/>
      <c r="I274" s="126"/>
      <c r="J274" s="126"/>
      <c r="K274" s="126"/>
      <c r="L274" s="126"/>
    </row>
    <row r="275" spans="5:12" x14ac:dyDescent="0.2">
      <c r="E275" s="26"/>
    </row>
    <row r="276" spans="5:12" x14ac:dyDescent="0.2">
      <c r="E276" s="26"/>
    </row>
    <row r="277" spans="5:12" x14ac:dyDescent="0.2">
      <c r="E277" s="26"/>
    </row>
    <row r="278" spans="5:12" x14ac:dyDescent="0.2">
      <c r="E278" s="26"/>
    </row>
    <row r="279" spans="5:12" x14ac:dyDescent="0.2">
      <c r="E279" s="26"/>
    </row>
    <row r="280" spans="5:12" x14ac:dyDescent="0.2">
      <c r="E280" s="26"/>
    </row>
    <row r="281" spans="5:12" x14ac:dyDescent="0.2">
      <c r="E281" s="26"/>
    </row>
    <row r="282" spans="5:12" x14ac:dyDescent="0.2">
      <c r="E282" s="26"/>
    </row>
    <row r="283" spans="5:12" x14ac:dyDescent="0.2">
      <c r="E283" s="26"/>
    </row>
    <row r="284" spans="5:12" x14ac:dyDescent="0.2">
      <c r="E284" s="26"/>
    </row>
    <row r="285" spans="5:12" x14ac:dyDescent="0.2">
      <c r="E285" s="26"/>
    </row>
    <row r="286" spans="5:12" x14ac:dyDescent="0.2">
      <c r="E286" s="26"/>
    </row>
    <row r="287" spans="5:12" x14ac:dyDescent="0.2">
      <c r="E287" s="26"/>
    </row>
    <row r="288" spans="5:12" x14ac:dyDescent="0.2">
      <c r="E288" s="26"/>
    </row>
    <row r="289" spans="2:8" x14ac:dyDescent="0.2">
      <c r="E289" s="26"/>
    </row>
    <row r="290" spans="2:8" x14ac:dyDescent="0.2">
      <c r="E290" s="26"/>
    </row>
    <row r="291" spans="2:8" x14ac:dyDescent="0.2">
      <c r="E291" s="26"/>
    </row>
    <row r="292" spans="2:8" x14ac:dyDescent="0.2">
      <c r="E292" s="26"/>
    </row>
    <row r="293" spans="2:8" x14ac:dyDescent="0.2">
      <c r="E293" s="26"/>
    </row>
    <row r="294" spans="2:8" x14ac:dyDescent="0.2">
      <c r="E294" s="26"/>
    </row>
    <row r="295" spans="2:8" s="29" customFormat="1" x14ac:dyDescent="0.2">
      <c r="B295" s="30"/>
      <c r="C295" s="31"/>
      <c r="E295" s="32"/>
      <c r="H295" s="31"/>
    </row>
    <row r="296" spans="2:8" s="29" customFormat="1" x14ac:dyDescent="0.2">
      <c r="B296" s="30"/>
      <c r="C296" s="31"/>
      <c r="E296" s="32"/>
      <c r="H296" s="31"/>
    </row>
    <row r="297" spans="2:8" x14ac:dyDescent="0.2">
      <c r="E297" s="26"/>
    </row>
    <row r="298" spans="2:8" x14ac:dyDescent="0.2">
      <c r="E298" s="26"/>
    </row>
    <row r="299" spans="2:8" x14ac:dyDescent="0.2">
      <c r="E299" s="26"/>
    </row>
    <row r="300" spans="2:8" x14ac:dyDescent="0.2">
      <c r="E300" s="26"/>
    </row>
    <row r="301" spans="2:8" x14ac:dyDescent="0.2">
      <c r="E301" s="26"/>
    </row>
    <row r="302" spans="2:8" x14ac:dyDescent="0.2">
      <c r="E302" s="26"/>
    </row>
    <row r="303" spans="2:8" x14ac:dyDescent="0.2">
      <c r="E303" s="26"/>
    </row>
    <row r="304" spans="2:8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3212"/>
  <sheetViews>
    <sheetView topLeftCell="A164" workbookViewId="0">
      <selection activeCell="A209" sqref="A209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41" t="s">
        <v>0</v>
      </c>
      <c r="B1" s="2"/>
      <c r="C1" s="142">
        <f>SUM(C3:C394)</f>
        <v>23885.750000000007</v>
      </c>
      <c r="D1" s="142">
        <f>SUM(D3:D394)</f>
        <v>1412.8800000000006</v>
      </c>
      <c r="F1" s="4">
        <f>SUM(F3:F209)</f>
        <v>13382.599999999999</v>
      </c>
      <c r="H1" s="5">
        <f ca="1">TODAY()</f>
        <v>43182</v>
      </c>
      <c r="I1" s="5"/>
      <c r="J1" s="5"/>
    </row>
    <row r="2" spans="1:10" s="145" customFormat="1" x14ac:dyDescent="0.2">
      <c r="A2" s="141" t="s">
        <v>1</v>
      </c>
      <c r="B2" s="143" t="s">
        <v>2</v>
      </c>
      <c r="C2" s="144" t="s">
        <v>3</v>
      </c>
      <c r="D2" s="143" t="s">
        <v>4</v>
      </c>
      <c r="E2" s="143" t="s">
        <v>5</v>
      </c>
      <c r="H2" s="146"/>
    </row>
    <row r="3" spans="1:10" x14ac:dyDescent="0.2">
      <c r="A3" s="10">
        <v>17326</v>
      </c>
      <c r="B3" s="11">
        <v>42217</v>
      </c>
      <c r="C3" s="12">
        <v>20.57</v>
      </c>
      <c r="D3" s="12">
        <v>1.57</v>
      </c>
      <c r="E3" s="15" t="s">
        <v>7</v>
      </c>
      <c r="F3" s="10"/>
      <c r="G3" s="10"/>
      <c r="H3" s="10"/>
      <c r="I3" s="10"/>
    </row>
    <row r="4" spans="1:10" x14ac:dyDescent="0.2">
      <c r="A4" s="10">
        <v>17327</v>
      </c>
      <c r="B4" s="11">
        <v>42217</v>
      </c>
      <c r="C4" s="12">
        <v>41.14</v>
      </c>
      <c r="D4" s="12">
        <v>3.14</v>
      </c>
      <c r="E4" s="15" t="s">
        <v>21</v>
      </c>
      <c r="F4" s="10"/>
      <c r="G4" s="10"/>
      <c r="H4" s="10"/>
      <c r="I4" s="10"/>
    </row>
    <row r="5" spans="1:10" x14ac:dyDescent="0.2">
      <c r="A5" s="10">
        <v>17328</v>
      </c>
      <c r="B5" s="11">
        <v>42217</v>
      </c>
      <c r="C5" s="12">
        <v>67.91</v>
      </c>
      <c r="D5" s="12">
        <v>5.18</v>
      </c>
      <c r="E5" s="17"/>
      <c r="F5" s="12"/>
      <c r="G5" s="12"/>
      <c r="H5" s="12"/>
      <c r="I5" s="10"/>
    </row>
    <row r="6" spans="1:10" x14ac:dyDescent="0.2">
      <c r="A6" s="10">
        <v>17329</v>
      </c>
      <c r="B6" s="11">
        <v>42217</v>
      </c>
      <c r="C6" s="12">
        <v>40</v>
      </c>
      <c r="D6" s="12">
        <v>3.05</v>
      </c>
      <c r="E6" s="17"/>
      <c r="H6" s="12"/>
      <c r="I6" s="10"/>
    </row>
    <row r="7" spans="1:10" x14ac:dyDescent="0.2">
      <c r="A7" s="10">
        <v>17330</v>
      </c>
      <c r="B7" s="11">
        <v>42217</v>
      </c>
      <c r="C7" s="12">
        <v>9.74</v>
      </c>
      <c r="D7" s="12">
        <v>0.74</v>
      </c>
      <c r="E7" s="17"/>
      <c r="H7" s="12"/>
      <c r="I7" s="10"/>
    </row>
    <row r="8" spans="1:10" x14ac:dyDescent="0.2">
      <c r="A8" s="10">
        <v>17331</v>
      </c>
      <c r="B8" s="11">
        <v>42217</v>
      </c>
      <c r="C8" s="12">
        <v>320.90999999999997</v>
      </c>
      <c r="D8" s="12">
        <v>24.46</v>
      </c>
      <c r="E8" s="15" t="s">
        <v>7</v>
      </c>
      <c r="H8" s="10"/>
      <c r="I8" s="10"/>
    </row>
    <row r="9" spans="1:10" x14ac:dyDescent="0.2">
      <c r="A9" s="10">
        <v>17332</v>
      </c>
      <c r="B9" s="11">
        <v>42217</v>
      </c>
      <c r="C9" s="12">
        <v>41.14</v>
      </c>
      <c r="D9" s="12">
        <v>3.14</v>
      </c>
      <c r="E9" s="15" t="s">
        <v>11</v>
      </c>
      <c r="H9" s="10"/>
      <c r="I9" s="10"/>
    </row>
    <row r="10" spans="1:10" x14ac:dyDescent="0.2">
      <c r="A10" s="10">
        <v>17333</v>
      </c>
      <c r="B10" s="11">
        <v>42217</v>
      </c>
      <c r="C10" s="12">
        <v>60.62</v>
      </c>
      <c r="D10" s="12">
        <v>4.62</v>
      </c>
      <c r="E10" s="15" t="s">
        <v>11</v>
      </c>
      <c r="F10" s="21"/>
      <c r="G10" s="22"/>
      <c r="H10" s="10"/>
      <c r="I10" s="10"/>
    </row>
    <row r="11" spans="1:10" x14ac:dyDescent="0.2">
      <c r="A11" s="10">
        <v>17334</v>
      </c>
      <c r="B11" s="11">
        <v>42217</v>
      </c>
      <c r="C11" s="12">
        <v>117.99</v>
      </c>
      <c r="D11" s="12">
        <v>8.99</v>
      </c>
      <c r="E11" s="15" t="s">
        <v>11</v>
      </c>
      <c r="F11" s="21"/>
      <c r="G11" s="22"/>
      <c r="H11" s="10"/>
      <c r="I11" s="10"/>
    </row>
    <row r="12" spans="1:10" x14ac:dyDescent="0.2">
      <c r="A12" s="10">
        <v>17335</v>
      </c>
      <c r="B12" s="11">
        <v>42217</v>
      </c>
      <c r="C12" s="12">
        <v>70.31</v>
      </c>
      <c r="D12" s="12">
        <v>5.36</v>
      </c>
      <c r="E12" s="15" t="s">
        <v>7</v>
      </c>
      <c r="H12" s="10"/>
      <c r="I12" s="10"/>
    </row>
    <row r="13" spans="1:10" x14ac:dyDescent="0.2">
      <c r="A13" s="10">
        <v>17336</v>
      </c>
      <c r="B13" s="11">
        <v>42217</v>
      </c>
      <c r="C13" s="12">
        <v>19.38</v>
      </c>
      <c r="D13" s="12">
        <v>1.48</v>
      </c>
      <c r="E13" s="17"/>
      <c r="F13" s="18"/>
      <c r="G13" s="19"/>
      <c r="H13" s="12"/>
      <c r="I13" s="10"/>
    </row>
    <row r="14" spans="1:10" x14ac:dyDescent="0.2">
      <c r="A14" s="10">
        <v>17337</v>
      </c>
      <c r="B14" s="11">
        <v>42217</v>
      </c>
      <c r="C14" s="12">
        <v>59.54</v>
      </c>
      <c r="D14" s="12">
        <v>4.54</v>
      </c>
      <c r="E14" s="15" t="s">
        <v>11</v>
      </c>
      <c r="F14" s="34">
        <f>+C3+C8+C10+C11+C12+C14+C9</f>
        <v>691.07999999999981</v>
      </c>
      <c r="G14" s="34">
        <v>681.83</v>
      </c>
      <c r="H14" s="10"/>
      <c r="I14" s="10"/>
    </row>
    <row r="15" spans="1:10" x14ac:dyDescent="0.2">
      <c r="A15" s="10">
        <v>17338</v>
      </c>
      <c r="B15" s="11">
        <v>42219</v>
      </c>
      <c r="C15" s="12">
        <v>72.900000000000006</v>
      </c>
      <c r="D15" s="12">
        <v>4.95</v>
      </c>
      <c r="E15" s="15" t="s">
        <v>21</v>
      </c>
      <c r="H15" s="10"/>
      <c r="I15" s="10"/>
    </row>
    <row r="16" spans="1:10" x14ac:dyDescent="0.2">
      <c r="A16" s="10">
        <v>17339</v>
      </c>
      <c r="B16" s="11">
        <v>42219</v>
      </c>
      <c r="C16" s="12">
        <v>4.0599999999999996</v>
      </c>
      <c r="D16" s="12">
        <v>0.31</v>
      </c>
      <c r="E16" s="17"/>
      <c r="H16" s="12"/>
      <c r="I16" s="10"/>
    </row>
    <row r="17" spans="1:9" x14ac:dyDescent="0.2">
      <c r="A17" s="10">
        <v>17340</v>
      </c>
      <c r="B17" s="11">
        <v>42219</v>
      </c>
      <c r="C17" s="12">
        <v>37.830000000000005</v>
      </c>
      <c r="D17" s="12">
        <v>2.88</v>
      </c>
      <c r="E17" s="15" t="s">
        <v>11</v>
      </c>
      <c r="F17" s="21"/>
      <c r="G17" s="22"/>
      <c r="H17" s="10"/>
      <c r="I17" s="10"/>
    </row>
    <row r="18" spans="1:9" x14ac:dyDescent="0.2">
      <c r="A18" s="10">
        <v>17341</v>
      </c>
      <c r="B18" s="11">
        <v>42219</v>
      </c>
      <c r="C18" s="12">
        <v>80.059999999999988</v>
      </c>
      <c r="D18" s="12">
        <v>6.1</v>
      </c>
      <c r="E18" s="17"/>
      <c r="H18" s="12"/>
      <c r="I18" s="10"/>
    </row>
    <row r="19" spans="1:9" x14ac:dyDescent="0.2">
      <c r="A19" s="10">
        <v>17342</v>
      </c>
      <c r="B19" s="11">
        <v>42219</v>
      </c>
      <c r="C19" s="12">
        <v>1</v>
      </c>
      <c r="D19" s="12">
        <v>0.08</v>
      </c>
      <c r="E19" s="17"/>
      <c r="H19" s="12"/>
      <c r="I19" s="10"/>
    </row>
    <row r="20" spans="1:9" x14ac:dyDescent="0.2">
      <c r="A20" s="10">
        <v>17343</v>
      </c>
      <c r="B20" s="11">
        <v>42219</v>
      </c>
      <c r="C20" s="12">
        <v>75.78</v>
      </c>
      <c r="D20" s="12">
        <v>5.78</v>
      </c>
      <c r="E20" s="15" t="s">
        <v>11</v>
      </c>
      <c r="F20" s="21"/>
      <c r="G20" s="22"/>
      <c r="H20" s="10"/>
      <c r="I20" s="10"/>
    </row>
    <row r="21" spans="1:9" x14ac:dyDescent="0.2">
      <c r="A21" s="10">
        <v>17344</v>
      </c>
      <c r="B21" s="11">
        <v>42219</v>
      </c>
      <c r="C21" s="12">
        <v>7.3900000000000006</v>
      </c>
      <c r="D21" s="12">
        <v>0.56000000000000005</v>
      </c>
      <c r="E21" s="17"/>
      <c r="F21" s="34">
        <f>+C17+C20</f>
        <v>113.61000000000001</v>
      </c>
      <c r="G21" s="34">
        <v>112.01</v>
      </c>
      <c r="H21" s="12"/>
      <c r="I21" s="10"/>
    </row>
    <row r="22" spans="1:9" x14ac:dyDescent="0.2">
      <c r="A22" s="10">
        <v>17345</v>
      </c>
      <c r="B22" s="11">
        <v>42220</v>
      </c>
      <c r="C22" s="12">
        <v>5.41</v>
      </c>
      <c r="D22" s="12">
        <v>0.41</v>
      </c>
      <c r="E22" s="17"/>
      <c r="H22" s="12"/>
      <c r="I22" s="10"/>
    </row>
    <row r="23" spans="1:9" x14ac:dyDescent="0.2">
      <c r="A23" s="10">
        <v>17346</v>
      </c>
      <c r="B23" s="11">
        <v>42220</v>
      </c>
      <c r="C23" s="12">
        <v>21.599999999999998</v>
      </c>
      <c r="D23" s="12">
        <v>1.65</v>
      </c>
      <c r="E23" s="17"/>
      <c r="H23" s="12"/>
      <c r="I23" s="10"/>
    </row>
    <row r="24" spans="1:9" x14ac:dyDescent="0.2">
      <c r="A24" s="10">
        <v>17347</v>
      </c>
      <c r="B24" s="11">
        <v>42220</v>
      </c>
      <c r="C24" s="12">
        <v>81.19</v>
      </c>
      <c r="D24" s="12">
        <v>6.19</v>
      </c>
      <c r="E24" s="15" t="s">
        <v>429</v>
      </c>
      <c r="H24" s="10"/>
      <c r="I24" s="10"/>
    </row>
    <row r="25" spans="1:9" x14ac:dyDescent="0.2">
      <c r="A25" s="10">
        <v>17348</v>
      </c>
      <c r="B25" s="11">
        <v>42220</v>
      </c>
      <c r="C25" s="12">
        <v>97.35</v>
      </c>
      <c r="D25" s="12"/>
      <c r="E25" s="13" t="s">
        <v>351</v>
      </c>
      <c r="H25" s="12"/>
      <c r="I25" s="10"/>
    </row>
    <row r="26" spans="1:9" x14ac:dyDescent="0.2">
      <c r="A26" s="10">
        <v>17349</v>
      </c>
      <c r="B26" s="11">
        <v>42220</v>
      </c>
      <c r="C26" s="12">
        <v>2.11</v>
      </c>
      <c r="D26" s="12">
        <v>0.16</v>
      </c>
      <c r="E26" s="15" t="s">
        <v>11</v>
      </c>
      <c r="H26" s="10"/>
      <c r="I26" s="10"/>
    </row>
    <row r="27" spans="1:9" x14ac:dyDescent="0.2">
      <c r="A27" s="10">
        <v>17350</v>
      </c>
      <c r="B27" s="11">
        <v>42220</v>
      </c>
      <c r="C27" s="12">
        <v>113.66</v>
      </c>
      <c r="D27" s="12">
        <v>8.66</v>
      </c>
      <c r="E27" s="17"/>
      <c r="H27" s="12"/>
      <c r="I27" s="10"/>
    </row>
    <row r="28" spans="1:9" x14ac:dyDescent="0.2">
      <c r="A28" s="10">
        <v>17351</v>
      </c>
      <c r="B28" s="11">
        <v>42220</v>
      </c>
      <c r="C28" s="12">
        <v>95.26</v>
      </c>
      <c r="D28" s="12">
        <v>7.26</v>
      </c>
      <c r="E28" s="17"/>
      <c r="F28" s="34">
        <f>+C26</f>
        <v>2.11</v>
      </c>
      <c r="G28" s="34">
        <v>2.0699999999999998</v>
      </c>
      <c r="H28" s="12"/>
      <c r="I28" s="10"/>
    </row>
    <row r="29" spans="1:9" x14ac:dyDescent="0.2">
      <c r="A29" s="10">
        <v>17352</v>
      </c>
      <c r="B29" s="11">
        <v>42221</v>
      </c>
      <c r="C29" s="12">
        <v>35.72</v>
      </c>
      <c r="D29" s="12">
        <v>2.72</v>
      </c>
      <c r="E29" s="17"/>
      <c r="F29" s="18"/>
      <c r="G29" s="19"/>
      <c r="H29" s="12"/>
      <c r="I29" s="10"/>
    </row>
    <row r="30" spans="1:9" x14ac:dyDescent="0.2">
      <c r="A30" s="10">
        <v>17353</v>
      </c>
      <c r="B30" s="11">
        <v>42221</v>
      </c>
      <c r="C30" s="12">
        <v>8.61</v>
      </c>
      <c r="D30" s="12">
        <v>0.66</v>
      </c>
      <c r="E30" s="17"/>
      <c r="F30" s="18"/>
      <c r="G30" s="19"/>
      <c r="H30" s="12"/>
      <c r="I30" s="10"/>
    </row>
    <row r="31" spans="1:9" x14ac:dyDescent="0.2">
      <c r="A31" s="10">
        <v>17354</v>
      </c>
      <c r="B31" s="11">
        <v>42221</v>
      </c>
      <c r="C31" s="12">
        <v>148.30000000000001</v>
      </c>
      <c r="D31" s="12">
        <v>11.3</v>
      </c>
      <c r="E31" s="15" t="s">
        <v>11</v>
      </c>
      <c r="H31" s="10"/>
      <c r="I31" s="10"/>
    </row>
    <row r="32" spans="1:9" x14ac:dyDescent="0.2">
      <c r="A32" s="10">
        <v>17355</v>
      </c>
      <c r="B32" s="11">
        <v>42221</v>
      </c>
      <c r="C32" s="12">
        <v>333</v>
      </c>
      <c r="D32" s="12"/>
      <c r="E32" s="15" t="s">
        <v>299</v>
      </c>
      <c r="H32" s="10"/>
      <c r="I32" s="10"/>
    </row>
    <row r="33" spans="1:9" x14ac:dyDescent="0.2">
      <c r="A33" s="10">
        <v>17356</v>
      </c>
      <c r="B33" s="11">
        <v>42221</v>
      </c>
      <c r="C33" s="12">
        <v>27.009999999999998</v>
      </c>
      <c r="D33" s="12">
        <v>2.06</v>
      </c>
      <c r="E33" s="17"/>
      <c r="F33" s="34">
        <f>+C31+41.14</f>
        <v>189.44</v>
      </c>
      <c r="G33" s="34">
        <v>185.82</v>
      </c>
      <c r="H33" s="12"/>
      <c r="I33" s="10"/>
    </row>
    <row r="34" spans="1:9" x14ac:dyDescent="0.2">
      <c r="A34" s="10">
        <v>17357</v>
      </c>
      <c r="B34" s="11">
        <v>42222</v>
      </c>
      <c r="C34" s="12">
        <v>1816</v>
      </c>
      <c r="D34" s="12"/>
      <c r="E34" s="15" t="s">
        <v>17</v>
      </c>
      <c r="H34" s="10"/>
      <c r="I34" s="10"/>
    </row>
    <row r="35" spans="1:9" x14ac:dyDescent="0.2">
      <c r="A35" s="10">
        <v>17358</v>
      </c>
      <c r="B35" s="11">
        <v>42222</v>
      </c>
      <c r="C35" s="12">
        <v>58.46</v>
      </c>
      <c r="D35" s="12">
        <v>4.46</v>
      </c>
      <c r="E35" s="15"/>
      <c r="H35" s="10"/>
      <c r="I35" s="10"/>
    </row>
    <row r="36" spans="1:9" x14ac:dyDescent="0.2">
      <c r="A36" s="10">
        <v>17359</v>
      </c>
      <c r="B36" s="11">
        <v>42222</v>
      </c>
      <c r="C36" s="12">
        <v>290.64999999999998</v>
      </c>
      <c r="D36" s="12">
        <v>22.15</v>
      </c>
      <c r="E36" s="15" t="s">
        <v>13</v>
      </c>
      <c r="H36" s="10"/>
      <c r="I36" s="10"/>
    </row>
    <row r="37" spans="1:9" x14ac:dyDescent="0.2">
      <c r="A37" s="10">
        <v>17360</v>
      </c>
      <c r="B37" s="11">
        <v>42222</v>
      </c>
      <c r="C37" s="12">
        <v>399.44</v>
      </c>
      <c r="D37" s="12">
        <v>30.44</v>
      </c>
      <c r="E37" s="15" t="s">
        <v>11</v>
      </c>
      <c r="F37" s="21"/>
      <c r="G37" s="22"/>
      <c r="H37" s="10"/>
      <c r="I37" s="10"/>
    </row>
    <row r="38" spans="1:9" x14ac:dyDescent="0.2">
      <c r="A38" s="10">
        <v>17361</v>
      </c>
      <c r="B38" s="11">
        <v>42222</v>
      </c>
      <c r="C38" s="12">
        <v>24.24</v>
      </c>
      <c r="D38" s="12"/>
      <c r="E38" s="15" t="s">
        <v>11</v>
      </c>
      <c r="F38" s="34">
        <f>+C38+C37+C36+72.9</f>
        <v>787.2299999999999</v>
      </c>
      <c r="G38" s="34">
        <v>771.25</v>
      </c>
      <c r="H38" s="10"/>
      <c r="I38" s="10"/>
    </row>
    <row r="39" spans="1:9" x14ac:dyDescent="0.2">
      <c r="A39" s="10">
        <v>17362</v>
      </c>
      <c r="B39" s="11">
        <v>42223</v>
      </c>
      <c r="C39" s="12">
        <v>182.94</v>
      </c>
      <c r="D39" s="12">
        <v>13.94</v>
      </c>
      <c r="E39" s="15" t="s">
        <v>11</v>
      </c>
      <c r="H39" s="10"/>
      <c r="I39" s="10"/>
    </row>
    <row r="40" spans="1:9" x14ac:dyDescent="0.2">
      <c r="A40" s="10">
        <v>17363</v>
      </c>
      <c r="B40" s="11">
        <v>42223</v>
      </c>
      <c r="C40" s="12">
        <v>5.36</v>
      </c>
      <c r="D40" s="12">
        <v>0.41</v>
      </c>
      <c r="E40" s="17"/>
      <c r="F40" s="18"/>
      <c r="G40" s="19"/>
      <c r="H40" s="12"/>
      <c r="I40" s="10"/>
    </row>
    <row r="41" spans="1:9" x14ac:dyDescent="0.2">
      <c r="A41" s="10">
        <v>17364</v>
      </c>
      <c r="B41" s="11">
        <v>42223</v>
      </c>
      <c r="C41" s="12">
        <v>29.23</v>
      </c>
      <c r="D41" s="12">
        <v>2.23</v>
      </c>
      <c r="E41" s="15" t="s">
        <v>7</v>
      </c>
      <c r="H41" s="10"/>
      <c r="I41" s="10"/>
    </row>
    <row r="42" spans="1:9" x14ac:dyDescent="0.2">
      <c r="A42" s="10">
        <v>17365</v>
      </c>
      <c r="B42" s="11">
        <v>42223</v>
      </c>
      <c r="C42" s="12">
        <v>9.69</v>
      </c>
      <c r="D42" s="12">
        <v>0.74</v>
      </c>
      <c r="E42" s="15" t="s">
        <v>11</v>
      </c>
      <c r="H42" s="10"/>
      <c r="I42" s="10"/>
    </row>
    <row r="43" spans="1:9" x14ac:dyDescent="0.2">
      <c r="A43" s="10">
        <v>17366</v>
      </c>
      <c r="B43" s="11">
        <v>42223</v>
      </c>
      <c r="C43" s="12">
        <v>90</v>
      </c>
      <c r="D43" s="12">
        <v>6.86</v>
      </c>
      <c r="E43" s="17"/>
      <c r="F43" s="34">
        <f>+C39+C41+C42</f>
        <v>221.85999999999999</v>
      </c>
      <c r="G43" s="34">
        <v>219.1</v>
      </c>
      <c r="H43" s="12"/>
      <c r="I43" s="10"/>
    </row>
    <row r="44" spans="1:9" x14ac:dyDescent="0.2">
      <c r="A44" s="10">
        <v>17367</v>
      </c>
      <c r="B44" s="11">
        <v>42224</v>
      </c>
      <c r="C44" s="12">
        <v>140</v>
      </c>
      <c r="D44" s="12">
        <v>10.67</v>
      </c>
      <c r="E44" s="17"/>
      <c r="H44" s="12"/>
      <c r="I44" s="10"/>
    </row>
    <row r="45" spans="1:9" x14ac:dyDescent="0.2">
      <c r="A45" s="10">
        <v>17368</v>
      </c>
      <c r="B45" s="11">
        <v>42224</v>
      </c>
      <c r="C45" s="12">
        <v>284.7</v>
      </c>
      <c r="D45" s="12">
        <v>21.7</v>
      </c>
      <c r="E45" s="15" t="s">
        <v>7</v>
      </c>
      <c r="H45" s="10"/>
      <c r="I45" s="10"/>
    </row>
    <row r="46" spans="1:9" x14ac:dyDescent="0.2">
      <c r="A46" s="10">
        <v>17369</v>
      </c>
      <c r="B46" s="11">
        <v>42224</v>
      </c>
      <c r="C46" s="12">
        <v>48.71</v>
      </c>
      <c r="D46" s="12">
        <v>3.71</v>
      </c>
      <c r="E46" s="15" t="s">
        <v>349</v>
      </c>
      <c r="H46" s="10"/>
      <c r="I46" s="10"/>
    </row>
    <row r="47" spans="1:9" x14ac:dyDescent="0.2">
      <c r="A47" s="10">
        <v>17370</v>
      </c>
      <c r="B47" s="11">
        <v>42224</v>
      </c>
      <c r="C47" s="12">
        <v>215.35999999999999</v>
      </c>
      <c r="D47" s="12">
        <v>16.41</v>
      </c>
      <c r="E47" s="15" t="s">
        <v>11</v>
      </c>
      <c r="H47" s="10"/>
      <c r="I47" s="10"/>
    </row>
    <row r="48" spans="1:9" x14ac:dyDescent="0.2">
      <c r="A48" s="10">
        <v>17371</v>
      </c>
      <c r="B48" s="11">
        <v>42224</v>
      </c>
      <c r="C48" s="12">
        <v>547.75</v>
      </c>
      <c r="D48" s="12">
        <v>41.75</v>
      </c>
      <c r="E48" s="15" t="s">
        <v>430</v>
      </c>
      <c r="H48" s="10"/>
      <c r="I48" s="10"/>
    </row>
    <row r="49" spans="1:9" x14ac:dyDescent="0.2">
      <c r="A49" s="10">
        <v>17372</v>
      </c>
      <c r="B49" s="11">
        <v>42224</v>
      </c>
      <c r="C49" s="12">
        <v>285.77999999999997</v>
      </c>
      <c r="D49" s="12">
        <v>21.78</v>
      </c>
      <c r="E49" s="15" t="s">
        <v>11</v>
      </c>
      <c r="H49" s="10"/>
      <c r="I49" s="10"/>
    </row>
    <row r="50" spans="1:9" x14ac:dyDescent="0.2">
      <c r="A50" s="10">
        <v>17373</v>
      </c>
      <c r="B50" s="11">
        <v>42224</v>
      </c>
      <c r="C50" s="12">
        <v>9.69</v>
      </c>
      <c r="D50" s="12">
        <v>0.74</v>
      </c>
      <c r="E50" s="17"/>
      <c r="F50" s="18"/>
      <c r="G50" s="19"/>
      <c r="H50" s="12"/>
      <c r="I50" s="10"/>
    </row>
    <row r="51" spans="1:9" x14ac:dyDescent="0.2">
      <c r="A51" s="10">
        <v>17374</v>
      </c>
      <c r="B51" s="11">
        <v>42224</v>
      </c>
      <c r="C51" s="12">
        <v>-11.37</v>
      </c>
      <c r="D51" s="12">
        <v>-0.87</v>
      </c>
      <c r="E51" s="17"/>
      <c r="F51" s="18"/>
      <c r="G51" s="19"/>
      <c r="H51" s="12"/>
      <c r="I51" s="10"/>
    </row>
    <row r="52" spans="1:9" x14ac:dyDescent="0.2">
      <c r="A52" s="10">
        <v>17375</v>
      </c>
      <c r="B52" s="11">
        <v>42224</v>
      </c>
      <c r="C52" s="12">
        <v>196.47</v>
      </c>
      <c r="D52" s="12">
        <v>14.97</v>
      </c>
      <c r="E52" s="15" t="s">
        <v>11</v>
      </c>
      <c r="F52" s="21"/>
      <c r="G52" s="22"/>
      <c r="H52" s="10"/>
      <c r="I52" s="10"/>
    </row>
    <row r="53" spans="1:9" x14ac:dyDescent="0.2">
      <c r="A53" s="10">
        <v>17376</v>
      </c>
      <c r="B53" s="11">
        <v>42224</v>
      </c>
      <c r="C53" s="12">
        <v>35.67</v>
      </c>
      <c r="D53" s="12">
        <v>2.72</v>
      </c>
      <c r="E53" s="15" t="s">
        <v>7</v>
      </c>
      <c r="H53" s="10"/>
      <c r="I53" s="10"/>
    </row>
    <row r="54" spans="1:9" x14ac:dyDescent="0.2">
      <c r="A54" s="10">
        <v>17377</v>
      </c>
      <c r="B54" s="11">
        <v>42224</v>
      </c>
      <c r="C54" s="12">
        <v>145.06</v>
      </c>
      <c r="D54" s="12">
        <v>11.06</v>
      </c>
      <c r="E54" s="17"/>
      <c r="F54" s="34">
        <f>+C45+100+280+C49+C52+C53</f>
        <v>1182.6200000000001</v>
      </c>
      <c r="G54" s="34">
        <v>1170.97</v>
      </c>
      <c r="H54" s="12"/>
      <c r="I54" s="10"/>
    </row>
    <row r="55" spans="1:9" x14ac:dyDescent="0.2">
      <c r="A55" s="10">
        <v>17378</v>
      </c>
      <c r="B55" s="11">
        <v>42226</v>
      </c>
      <c r="C55" s="12">
        <v>279.83</v>
      </c>
      <c r="D55" s="12">
        <v>21.33</v>
      </c>
      <c r="E55" s="15" t="s">
        <v>11</v>
      </c>
      <c r="H55" s="10"/>
      <c r="I55" s="10"/>
    </row>
    <row r="56" spans="1:9" x14ac:dyDescent="0.2">
      <c r="A56" s="10">
        <v>17379</v>
      </c>
      <c r="B56" s="11">
        <v>42226</v>
      </c>
      <c r="C56" s="12">
        <v>21.599999999999998</v>
      </c>
      <c r="D56" s="12">
        <v>1.65</v>
      </c>
      <c r="E56" s="17"/>
      <c r="H56" s="12"/>
      <c r="I56" s="10"/>
    </row>
    <row r="57" spans="1:9" x14ac:dyDescent="0.2">
      <c r="A57" s="10">
        <v>17380</v>
      </c>
      <c r="B57" s="11">
        <v>42226</v>
      </c>
      <c r="C57" s="12">
        <v>562.36</v>
      </c>
      <c r="D57" s="12">
        <v>42.86</v>
      </c>
      <c r="E57" s="15" t="s">
        <v>11</v>
      </c>
      <c r="H57" s="10"/>
      <c r="I57" s="10"/>
    </row>
    <row r="58" spans="1:9" x14ac:dyDescent="0.2">
      <c r="A58" s="10">
        <v>17381</v>
      </c>
      <c r="B58" s="11">
        <v>42226</v>
      </c>
      <c r="C58" s="12">
        <v>35</v>
      </c>
      <c r="D58" s="12"/>
      <c r="E58" s="13" t="s">
        <v>431</v>
      </c>
      <c r="H58" s="12"/>
      <c r="I58" s="10"/>
    </row>
    <row r="59" spans="1:9" x14ac:dyDescent="0.2">
      <c r="A59" s="10">
        <v>17382</v>
      </c>
      <c r="B59" s="11">
        <v>42226</v>
      </c>
      <c r="C59" s="12">
        <v>56.29</v>
      </c>
      <c r="D59" s="12">
        <v>4.29</v>
      </c>
      <c r="E59" s="15" t="s">
        <v>7</v>
      </c>
      <c r="H59" s="10"/>
      <c r="I59" s="10"/>
    </row>
    <row r="60" spans="1:9" x14ac:dyDescent="0.2">
      <c r="A60" s="10">
        <v>17383</v>
      </c>
      <c r="B60" s="11">
        <v>42226</v>
      </c>
      <c r="C60" s="12">
        <v>78</v>
      </c>
      <c r="D60" s="12"/>
      <c r="E60" s="13" t="s">
        <v>432</v>
      </c>
      <c r="H60" s="12"/>
      <c r="I60" s="10"/>
    </row>
    <row r="61" spans="1:9" x14ac:dyDescent="0.2">
      <c r="A61" s="10">
        <v>17384</v>
      </c>
      <c r="B61" s="11">
        <v>42226</v>
      </c>
      <c r="C61" s="12">
        <v>147.13999999999999</v>
      </c>
      <c r="D61" s="12">
        <v>11.14</v>
      </c>
      <c r="E61" s="15" t="s">
        <v>21</v>
      </c>
      <c r="H61" s="10"/>
      <c r="I61" s="10"/>
    </row>
    <row r="62" spans="1:9" x14ac:dyDescent="0.2">
      <c r="A62" s="10">
        <v>17385</v>
      </c>
      <c r="B62" s="11">
        <v>42226</v>
      </c>
      <c r="C62" s="12">
        <v>16.18</v>
      </c>
      <c r="D62" s="12">
        <v>1.23</v>
      </c>
      <c r="E62" s="17"/>
      <c r="H62" s="12"/>
      <c r="I62" s="10"/>
    </row>
    <row r="63" spans="1:9" x14ac:dyDescent="0.2">
      <c r="A63" s="10">
        <v>17386</v>
      </c>
      <c r="B63" s="11">
        <v>42226</v>
      </c>
      <c r="C63" s="12">
        <v>32.26</v>
      </c>
      <c r="D63" s="12">
        <v>2.46</v>
      </c>
      <c r="E63" s="17"/>
      <c r="F63" s="34">
        <f>+C55+C57+60.3+C59</f>
        <v>958.78</v>
      </c>
      <c r="G63" s="34">
        <v>944.72</v>
      </c>
      <c r="H63" s="12"/>
      <c r="I63" s="10"/>
    </row>
    <row r="64" spans="1:9" x14ac:dyDescent="0.2">
      <c r="A64" s="10">
        <v>17387</v>
      </c>
      <c r="B64" s="11">
        <v>42227</v>
      </c>
      <c r="C64" s="12">
        <v>55.21</v>
      </c>
      <c r="D64" s="12">
        <v>4.21</v>
      </c>
      <c r="E64" s="17"/>
      <c r="F64" s="18"/>
      <c r="G64" s="19"/>
      <c r="H64" s="12"/>
      <c r="I64" s="10"/>
    </row>
    <row r="65" spans="1:9" x14ac:dyDescent="0.2">
      <c r="A65" s="10">
        <v>17388</v>
      </c>
      <c r="B65" s="11">
        <v>42227</v>
      </c>
      <c r="C65" s="12">
        <v>232.47</v>
      </c>
      <c r="D65" s="12">
        <v>17.72</v>
      </c>
      <c r="E65" s="15" t="s">
        <v>11</v>
      </c>
      <c r="F65" s="21"/>
      <c r="G65" s="22"/>
      <c r="H65" s="10"/>
      <c r="I65" s="10"/>
    </row>
    <row r="66" spans="1:9" x14ac:dyDescent="0.2">
      <c r="A66" s="10">
        <v>17389</v>
      </c>
      <c r="B66" s="11">
        <v>42227</v>
      </c>
      <c r="C66" s="12">
        <v>281.45</v>
      </c>
      <c r="D66" s="12">
        <v>21.45</v>
      </c>
      <c r="E66" s="15" t="s">
        <v>11</v>
      </c>
      <c r="F66" s="21"/>
      <c r="G66" s="22"/>
      <c r="H66" s="10"/>
      <c r="I66" s="10"/>
    </row>
    <row r="67" spans="1:9" x14ac:dyDescent="0.2">
      <c r="A67" s="10">
        <v>17390</v>
      </c>
      <c r="B67" s="11">
        <v>42227</v>
      </c>
      <c r="C67" s="12">
        <v>48.71</v>
      </c>
      <c r="D67" s="12">
        <v>3.71</v>
      </c>
      <c r="E67" s="13"/>
      <c r="F67" s="18"/>
      <c r="G67" s="19"/>
      <c r="H67" s="12"/>
      <c r="I67" s="10"/>
    </row>
    <row r="68" spans="1:9" x14ac:dyDescent="0.2">
      <c r="A68" s="10">
        <v>17391</v>
      </c>
      <c r="B68" s="11">
        <v>42227</v>
      </c>
      <c r="C68" s="12">
        <v>285.73</v>
      </c>
      <c r="D68" s="12">
        <v>21.78</v>
      </c>
      <c r="E68" s="15" t="s">
        <v>11</v>
      </c>
      <c r="H68" s="10"/>
      <c r="I68" s="10"/>
    </row>
    <row r="69" spans="1:9" x14ac:dyDescent="0.2">
      <c r="A69" s="10">
        <v>17392</v>
      </c>
      <c r="B69" s="11">
        <v>42227</v>
      </c>
      <c r="C69" s="12">
        <v>58.46</v>
      </c>
      <c r="D69" s="12">
        <v>4.46</v>
      </c>
      <c r="E69" s="15" t="s">
        <v>11</v>
      </c>
      <c r="F69" s="34">
        <f>+C65+C68+C66+C69</f>
        <v>858.11000000000013</v>
      </c>
      <c r="G69" s="34">
        <v>846.03</v>
      </c>
      <c r="H69" s="10"/>
      <c r="I69" s="10"/>
    </row>
    <row r="70" spans="1:9" x14ac:dyDescent="0.2">
      <c r="A70" s="10">
        <v>17393</v>
      </c>
      <c r="B70" s="11">
        <v>42228</v>
      </c>
      <c r="C70" s="12">
        <v>327.02000000000004</v>
      </c>
      <c r="D70" s="12">
        <v>24.92</v>
      </c>
      <c r="E70" s="15" t="s">
        <v>11</v>
      </c>
      <c r="F70" s="21"/>
      <c r="G70" s="22"/>
      <c r="H70" s="10"/>
      <c r="I70" s="10"/>
    </row>
    <row r="71" spans="1:9" x14ac:dyDescent="0.2">
      <c r="A71" s="10">
        <v>17394</v>
      </c>
      <c r="B71" s="11">
        <v>42228</v>
      </c>
      <c r="C71" s="12">
        <v>130</v>
      </c>
      <c r="D71" s="12"/>
      <c r="E71" s="13" t="s">
        <v>281</v>
      </c>
      <c r="H71" s="12"/>
      <c r="I71" s="10"/>
    </row>
    <row r="72" spans="1:9" x14ac:dyDescent="0.2">
      <c r="A72" s="10">
        <v>17395</v>
      </c>
      <c r="B72" s="11">
        <v>42228</v>
      </c>
      <c r="C72" s="12">
        <v>181</v>
      </c>
      <c r="D72" s="12"/>
      <c r="E72" s="15" t="s">
        <v>433</v>
      </c>
      <c r="H72" s="10"/>
      <c r="I72" s="10"/>
    </row>
    <row r="73" spans="1:9" x14ac:dyDescent="0.2">
      <c r="A73" s="10">
        <v>17396</v>
      </c>
      <c r="B73" s="11">
        <v>42228</v>
      </c>
      <c r="C73" s="12">
        <v>105</v>
      </c>
      <c r="D73" s="12">
        <v>8</v>
      </c>
      <c r="E73" s="17"/>
      <c r="H73" s="12"/>
      <c r="I73" s="10"/>
    </row>
    <row r="74" spans="1:9" x14ac:dyDescent="0.2">
      <c r="A74" s="10">
        <v>17397</v>
      </c>
      <c r="B74" s="11">
        <v>42228</v>
      </c>
      <c r="C74" s="12">
        <v>374</v>
      </c>
      <c r="D74" s="12">
        <v>28.5</v>
      </c>
      <c r="E74" s="15" t="s">
        <v>13</v>
      </c>
      <c r="F74" s="34">
        <f>160+C74</f>
        <v>534</v>
      </c>
      <c r="G74" s="34">
        <v>523.02</v>
      </c>
      <c r="H74" s="10"/>
      <c r="I74" s="10"/>
    </row>
    <row r="75" spans="1:9" x14ac:dyDescent="0.2">
      <c r="A75" s="10">
        <v>17398</v>
      </c>
      <c r="B75" s="11">
        <v>42229</v>
      </c>
      <c r="C75" s="12">
        <v>15.38</v>
      </c>
      <c r="D75" s="12">
        <v>1.17</v>
      </c>
      <c r="E75" s="17"/>
      <c r="H75" s="12"/>
      <c r="I75" s="10"/>
    </row>
    <row r="76" spans="1:9" x14ac:dyDescent="0.2">
      <c r="A76" s="10">
        <v>17399</v>
      </c>
      <c r="B76" s="11">
        <v>42229</v>
      </c>
      <c r="C76" s="12">
        <v>6.5</v>
      </c>
      <c r="D76" s="12">
        <v>0.5</v>
      </c>
      <c r="E76" s="15" t="s">
        <v>11</v>
      </c>
      <c r="H76" s="10"/>
      <c r="I76" s="10"/>
    </row>
    <row r="77" spans="1:9" x14ac:dyDescent="0.2">
      <c r="A77" s="10">
        <v>17400</v>
      </c>
      <c r="B77" s="11">
        <v>42229</v>
      </c>
      <c r="C77" s="12">
        <v>89.52</v>
      </c>
      <c r="D77" s="12">
        <v>6.52</v>
      </c>
      <c r="E77" s="15" t="s">
        <v>434</v>
      </c>
      <c r="H77" s="10"/>
      <c r="I77" s="10"/>
    </row>
    <row r="78" spans="1:9" x14ac:dyDescent="0.2">
      <c r="A78" s="10">
        <v>17401</v>
      </c>
      <c r="B78" s="11">
        <v>42229</v>
      </c>
      <c r="C78" s="12">
        <v>32</v>
      </c>
      <c r="D78" s="12"/>
      <c r="E78" s="15" t="s">
        <v>368</v>
      </c>
      <c r="H78" s="10"/>
      <c r="I78" s="10"/>
    </row>
    <row r="79" spans="1:9" x14ac:dyDescent="0.2">
      <c r="A79" s="10">
        <v>17402</v>
      </c>
      <c r="B79" s="11">
        <v>42229</v>
      </c>
      <c r="C79" s="12">
        <v>14.07</v>
      </c>
      <c r="D79" s="12">
        <v>1.07</v>
      </c>
      <c r="E79" s="17"/>
      <c r="H79" s="12"/>
      <c r="I79" s="10"/>
    </row>
    <row r="80" spans="1:9" x14ac:dyDescent="0.2">
      <c r="A80" s="10">
        <v>17403</v>
      </c>
      <c r="B80" s="11">
        <v>42229</v>
      </c>
      <c r="C80" s="12">
        <v>262.51</v>
      </c>
      <c r="D80" s="12">
        <v>20.010000000000002</v>
      </c>
      <c r="E80" s="15" t="s">
        <v>11</v>
      </c>
      <c r="H80" s="10"/>
      <c r="I80" s="10"/>
    </row>
    <row r="81" spans="1:9" x14ac:dyDescent="0.2">
      <c r="A81" s="10">
        <v>17404</v>
      </c>
      <c r="B81" s="11">
        <v>42229</v>
      </c>
      <c r="C81" s="12">
        <v>215</v>
      </c>
      <c r="D81" s="12"/>
      <c r="E81" s="15" t="s">
        <v>19</v>
      </c>
      <c r="H81" s="10"/>
      <c r="I81" s="10"/>
    </row>
    <row r="82" spans="1:9" x14ac:dyDescent="0.2">
      <c r="A82" s="10">
        <v>17405</v>
      </c>
      <c r="B82" s="11">
        <v>42229</v>
      </c>
      <c r="C82" s="12">
        <v>47.63</v>
      </c>
      <c r="D82" s="12">
        <v>3.63</v>
      </c>
      <c r="E82" s="15" t="s">
        <v>11</v>
      </c>
      <c r="H82" s="10"/>
      <c r="I82" s="10"/>
    </row>
    <row r="83" spans="1:9" x14ac:dyDescent="0.2">
      <c r="A83" s="10">
        <v>17406</v>
      </c>
      <c r="B83" s="11">
        <v>42229</v>
      </c>
      <c r="C83" s="12">
        <v>110</v>
      </c>
      <c r="D83" s="12"/>
      <c r="E83" s="15" t="s">
        <v>19</v>
      </c>
      <c r="H83" s="10"/>
      <c r="I83" s="10"/>
    </row>
    <row r="84" spans="1:9" x14ac:dyDescent="0.2">
      <c r="A84" s="10">
        <v>17407</v>
      </c>
      <c r="B84" s="11">
        <v>42229</v>
      </c>
      <c r="C84" s="12">
        <v>21.599999999999998</v>
      </c>
      <c r="D84" s="12">
        <v>1.65</v>
      </c>
      <c r="E84" s="15" t="s">
        <v>11</v>
      </c>
      <c r="F84" s="34">
        <f>+C76+C78+240.58+C82+C84+19.84+C80</f>
        <v>630.66000000000008</v>
      </c>
      <c r="G84" s="34">
        <v>622.54999999999995</v>
      </c>
      <c r="H84" s="147"/>
      <c r="I84" s="10"/>
    </row>
    <row r="85" spans="1:9" x14ac:dyDescent="0.2">
      <c r="A85" s="10">
        <v>17408</v>
      </c>
      <c r="B85" s="11">
        <v>42230</v>
      </c>
      <c r="C85" s="12">
        <v>19.78</v>
      </c>
      <c r="D85" s="12">
        <v>1.51</v>
      </c>
      <c r="E85" s="17"/>
      <c r="F85" s="18"/>
      <c r="G85" s="19"/>
      <c r="H85" s="12"/>
      <c r="I85" s="10"/>
    </row>
    <row r="86" spans="1:9" x14ac:dyDescent="0.2">
      <c r="A86" s="10">
        <v>17409</v>
      </c>
      <c r="B86" s="11">
        <v>42230</v>
      </c>
      <c r="C86" s="12">
        <v>47.63</v>
      </c>
      <c r="D86" s="12">
        <v>3.63</v>
      </c>
      <c r="E86" s="15" t="s">
        <v>11</v>
      </c>
      <c r="H86" s="10"/>
      <c r="I86" s="10"/>
    </row>
    <row r="87" spans="1:9" x14ac:dyDescent="0.2">
      <c r="A87" s="10">
        <v>17410</v>
      </c>
      <c r="B87" s="11">
        <v>42230</v>
      </c>
      <c r="C87" s="12">
        <v>119.29</v>
      </c>
      <c r="D87" s="12">
        <v>9.09</v>
      </c>
      <c r="E87" s="13" t="s">
        <v>435</v>
      </c>
      <c r="F87" s="18"/>
      <c r="G87" s="19"/>
      <c r="H87" s="12"/>
      <c r="I87" s="10"/>
    </row>
    <row r="88" spans="1:9" x14ac:dyDescent="0.2">
      <c r="A88" s="10">
        <v>17411</v>
      </c>
      <c r="B88" s="11">
        <v>42230</v>
      </c>
      <c r="C88" s="12">
        <v>16.18</v>
      </c>
      <c r="D88" s="12">
        <v>1.23</v>
      </c>
      <c r="E88" s="17"/>
      <c r="F88" s="18"/>
      <c r="G88" s="19"/>
      <c r="H88" s="12"/>
      <c r="I88" s="10"/>
    </row>
    <row r="89" spans="1:9" x14ac:dyDescent="0.2">
      <c r="A89" s="10">
        <v>17412</v>
      </c>
      <c r="B89" s="11">
        <v>42230</v>
      </c>
      <c r="C89" s="12">
        <v>203.51</v>
      </c>
      <c r="D89" s="12">
        <v>15.51</v>
      </c>
      <c r="E89" s="15" t="s">
        <v>11</v>
      </c>
      <c r="F89" s="21"/>
      <c r="G89" s="22"/>
      <c r="H89" s="10"/>
      <c r="I89" s="10"/>
    </row>
    <row r="90" spans="1:9" x14ac:dyDescent="0.2">
      <c r="A90" s="10">
        <v>17413</v>
      </c>
      <c r="B90" s="11">
        <v>42230</v>
      </c>
      <c r="C90" s="12">
        <v>24.84</v>
      </c>
      <c r="D90" s="12">
        <v>1.89</v>
      </c>
      <c r="E90" s="15" t="s">
        <v>11</v>
      </c>
      <c r="H90" s="10"/>
      <c r="I90" s="10"/>
    </row>
    <row r="91" spans="1:9" x14ac:dyDescent="0.2">
      <c r="A91" s="10">
        <v>17414</v>
      </c>
      <c r="B91" s="11">
        <v>42230</v>
      </c>
      <c r="C91" s="12">
        <v>30.31</v>
      </c>
      <c r="D91" s="12">
        <v>2.31</v>
      </c>
      <c r="E91" s="15" t="s">
        <v>11</v>
      </c>
      <c r="F91" s="21"/>
      <c r="G91" s="22"/>
      <c r="H91" s="10"/>
      <c r="I91" s="10"/>
    </row>
    <row r="92" spans="1:9" x14ac:dyDescent="0.2">
      <c r="A92" s="10">
        <v>17415</v>
      </c>
      <c r="B92" s="11">
        <v>42230</v>
      </c>
      <c r="C92" s="12">
        <v>38.97</v>
      </c>
      <c r="D92" s="12">
        <v>2.97</v>
      </c>
      <c r="E92" s="17"/>
      <c r="H92" s="12"/>
      <c r="I92" s="10"/>
    </row>
    <row r="93" spans="1:9" x14ac:dyDescent="0.2">
      <c r="A93" s="10">
        <v>17416</v>
      </c>
      <c r="B93" s="11">
        <v>42230</v>
      </c>
      <c r="C93" s="12">
        <v>220.29</v>
      </c>
      <c r="D93" s="12">
        <v>16.79</v>
      </c>
      <c r="E93" s="17"/>
      <c r="F93" s="34">
        <f>+C86+C89+C90+C91+81.19</f>
        <v>387.47999999999996</v>
      </c>
      <c r="G93" s="34">
        <v>379.83</v>
      </c>
      <c r="H93" s="12"/>
      <c r="I93" s="10"/>
    </row>
    <row r="94" spans="1:9" x14ac:dyDescent="0.2">
      <c r="A94" s="10">
        <v>17417</v>
      </c>
      <c r="B94" s="11">
        <v>42231</v>
      </c>
      <c r="C94" s="12">
        <v>19</v>
      </c>
      <c r="D94" s="12"/>
      <c r="E94" s="15" t="s">
        <v>11</v>
      </c>
      <c r="H94" s="10"/>
      <c r="I94" s="10"/>
    </row>
    <row r="95" spans="1:9" x14ac:dyDescent="0.2">
      <c r="A95" s="10">
        <v>17418</v>
      </c>
      <c r="B95" s="11">
        <v>42231</v>
      </c>
      <c r="C95" s="12">
        <v>26</v>
      </c>
      <c r="D95" s="12"/>
      <c r="E95" s="15" t="s">
        <v>11</v>
      </c>
      <c r="F95" s="21"/>
      <c r="G95" s="22"/>
      <c r="H95" s="10"/>
      <c r="I95" s="10"/>
    </row>
    <row r="96" spans="1:9" x14ac:dyDescent="0.2">
      <c r="A96" s="10">
        <v>17419</v>
      </c>
      <c r="B96" s="11">
        <v>42231</v>
      </c>
      <c r="C96" s="12">
        <v>20.57</v>
      </c>
      <c r="D96" s="12">
        <v>1.57</v>
      </c>
      <c r="E96" s="15" t="s">
        <v>11</v>
      </c>
      <c r="H96" s="10"/>
      <c r="I96" s="10"/>
    </row>
    <row r="97" spans="1:12" x14ac:dyDescent="0.2">
      <c r="A97" s="10">
        <v>17420</v>
      </c>
      <c r="B97" s="11">
        <v>42231</v>
      </c>
      <c r="C97" s="12">
        <v>505.53</v>
      </c>
      <c r="D97" s="12">
        <v>38.53</v>
      </c>
      <c r="E97" s="13" t="s">
        <v>436</v>
      </c>
      <c r="F97" s="18"/>
      <c r="G97" s="19"/>
      <c r="H97" s="12"/>
      <c r="I97" s="10"/>
    </row>
    <row r="98" spans="1:12" x14ac:dyDescent="0.2">
      <c r="A98" s="10">
        <v>17421</v>
      </c>
      <c r="B98" s="11">
        <v>42231</v>
      </c>
      <c r="C98" s="12">
        <v>10.83</v>
      </c>
      <c r="D98" s="12">
        <v>0.83</v>
      </c>
      <c r="E98" s="17"/>
      <c r="H98" s="12"/>
      <c r="I98" s="10"/>
    </row>
    <row r="99" spans="1:12" x14ac:dyDescent="0.2">
      <c r="A99" s="10">
        <v>17422</v>
      </c>
      <c r="B99" s="11">
        <v>42231</v>
      </c>
      <c r="C99" s="12">
        <v>30.31</v>
      </c>
      <c r="D99" s="12">
        <v>2.31</v>
      </c>
      <c r="E99" s="17"/>
      <c r="H99" s="12"/>
      <c r="I99" s="10"/>
    </row>
    <row r="100" spans="1:12" x14ac:dyDescent="0.2">
      <c r="A100" s="10">
        <v>17423</v>
      </c>
      <c r="B100" s="11">
        <v>42231</v>
      </c>
      <c r="C100" s="12">
        <v>75.78</v>
      </c>
      <c r="D100" s="12">
        <v>5.78</v>
      </c>
      <c r="E100" s="15"/>
      <c r="H100" s="10"/>
      <c r="I100" s="10"/>
    </row>
    <row r="101" spans="1:12" x14ac:dyDescent="0.2">
      <c r="A101" s="10">
        <v>17424</v>
      </c>
      <c r="B101" s="11">
        <v>42231</v>
      </c>
      <c r="C101" s="12">
        <v>59.54</v>
      </c>
      <c r="D101" s="12">
        <v>4.54</v>
      </c>
      <c r="E101" s="13"/>
      <c r="F101" s="18"/>
      <c r="G101" s="19"/>
      <c r="H101" s="12"/>
      <c r="I101" s="10"/>
    </row>
    <row r="102" spans="1:12" x14ac:dyDescent="0.2">
      <c r="A102" s="10">
        <v>17425</v>
      </c>
      <c r="B102" s="11">
        <v>42231</v>
      </c>
      <c r="C102" s="12">
        <v>53.04</v>
      </c>
      <c r="D102" s="12">
        <v>4.04</v>
      </c>
      <c r="E102" s="17"/>
      <c r="F102" s="18"/>
      <c r="G102" s="19"/>
      <c r="H102" s="12"/>
      <c r="I102" s="10"/>
    </row>
    <row r="103" spans="1:12" x14ac:dyDescent="0.2">
      <c r="A103" s="10">
        <v>17426</v>
      </c>
      <c r="B103" s="11">
        <v>42231</v>
      </c>
      <c r="C103" s="12">
        <v>20</v>
      </c>
      <c r="D103" s="12"/>
      <c r="E103" s="13" t="s">
        <v>281</v>
      </c>
      <c r="F103" s="34">
        <f>+C94+C95+C96</f>
        <v>65.569999999999993</v>
      </c>
      <c r="G103" s="34">
        <v>64.13</v>
      </c>
      <c r="H103" s="12"/>
      <c r="I103" s="10"/>
    </row>
    <row r="104" spans="1:12" x14ac:dyDescent="0.2">
      <c r="A104" s="10">
        <v>17427</v>
      </c>
      <c r="B104" s="11">
        <v>42233</v>
      </c>
      <c r="C104" s="12">
        <v>101.97</v>
      </c>
      <c r="D104" s="12">
        <v>7.77</v>
      </c>
      <c r="E104" s="15" t="s">
        <v>11</v>
      </c>
      <c r="H104" s="10"/>
      <c r="I104" s="10"/>
    </row>
    <row r="105" spans="1:12" x14ac:dyDescent="0.2">
      <c r="A105" s="10">
        <v>17428</v>
      </c>
      <c r="B105" s="11">
        <v>42233</v>
      </c>
      <c r="C105" s="12">
        <v>28.15</v>
      </c>
      <c r="D105" s="12">
        <v>2.15</v>
      </c>
      <c r="E105" s="15" t="s">
        <v>11</v>
      </c>
      <c r="H105" s="10"/>
      <c r="I105" s="10"/>
    </row>
    <row r="106" spans="1:12" x14ac:dyDescent="0.2">
      <c r="A106" s="118">
        <v>17429</v>
      </c>
      <c r="B106" s="148">
        <v>42233</v>
      </c>
      <c r="C106" s="121">
        <v>166.5</v>
      </c>
      <c r="D106" s="121">
        <v>12.69</v>
      </c>
      <c r="E106" s="149" t="s">
        <v>11</v>
      </c>
      <c r="F106" s="118"/>
      <c r="G106" s="118"/>
      <c r="H106" s="118"/>
      <c r="I106" s="118"/>
      <c r="J106" s="98"/>
      <c r="K106" s="150"/>
      <c r="L106" s="126"/>
    </row>
    <row r="107" spans="1:12" x14ac:dyDescent="0.2">
      <c r="A107" s="118">
        <v>17430</v>
      </c>
      <c r="B107" s="148">
        <v>42233</v>
      </c>
      <c r="C107" s="121">
        <v>9.69</v>
      </c>
      <c r="D107" s="121">
        <v>0.74</v>
      </c>
      <c r="E107" s="151"/>
      <c r="F107" s="121"/>
      <c r="G107" s="121"/>
      <c r="H107" s="121"/>
      <c r="I107" s="118"/>
      <c r="J107" s="98"/>
      <c r="K107" s="150"/>
      <c r="L107" s="126"/>
    </row>
    <row r="108" spans="1:12" x14ac:dyDescent="0.2">
      <c r="A108" s="118">
        <v>17431</v>
      </c>
      <c r="B108" s="148">
        <v>42233</v>
      </c>
      <c r="C108" s="121">
        <v>10</v>
      </c>
      <c r="D108" s="121">
        <v>0.76</v>
      </c>
      <c r="E108" s="149" t="s">
        <v>11</v>
      </c>
      <c r="F108" s="118"/>
      <c r="G108" s="118"/>
      <c r="H108" s="118"/>
      <c r="I108" s="118"/>
      <c r="J108" s="98"/>
      <c r="K108" s="150"/>
      <c r="L108" s="126"/>
    </row>
    <row r="109" spans="1:12" x14ac:dyDescent="0.2">
      <c r="A109" s="118">
        <v>17432</v>
      </c>
      <c r="B109" s="148">
        <v>42233</v>
      </c>
      <c r="C109" s="121">
        <v>250.6</v>
      </c>
      <c r="D109" s="121">
        <v>19.100000000000001</v>
      </c>
      <c r="E109" s="149"/>
      <c r="F109" s="118"/>
      <c r="G109" s="118"/>
      <c r="H109" s="118"/>
      <c r="I109" s="118"/>
      <c r="J109" s="98"/>
      <c r="K109" s="150"/>
      <c r="L109" s="126"/>
    </row>
    <row r="110" spans="1:12" x14ac:dyDescent="0.2">
      <c r="A110" s="118">
        <v>17433</v>
      </c>
      <c r="B110" s="148">
        <v>42233</v>
      </c>
      <c r="C110" s="121">
        <v>25.93</v>
      </c>
      <c r="D110" s="121">
        <v>1.98</v>
      </c>
      <c r="E110" s="121"/>
      <c r="H110" s="121"/>
      <c r="I110" s="118"/>
      <c r="J110" s="98"/>
      <c r="K110" s="150"/>
      <c r="L110" s="126"/>
    </row>
    <row r="111" spans="1:12" x14ac:dyDescent="0.2">
      <c r="A111" s="118">
        <v>17434</v>
      </c>
      <c r="B111" s="148">
        <v>42233</v>
      </c>
      <c r="C111" s="121">
        <v>18.349999999999998</v>
      </c>
      <c r="D111" s="121">
        <v>1.4</v>
      </c>
      <c r="E111" s="121"/>
      <c r="F111" s="34">
        <f>+C104+C105+C106+C108</f>
        <v>306.62</v>
      </c>
      <c r="G111" s="34">
        <v>304.16000000000003</v>
      </c>
      <c r="H111" s="121"/>
      <c r="I111" s="118"/>
      <c r="J111" s="98"/>
      <c r="K111" s="150"/>
      <c r="L111" s="126"/>
    </row>
    <row r="112" spans="1:12" x14ac:dyDescent="0.2">
      <c r="A112" s="118">
        <v>17435</v>
      </c>
      <c r="B112" s="148">
        <v>42234</v>
      </c>
      <c r="C112" s="121">
        <v>17.32</v>
      </c>
      <c r="D112" s="121">
        <v>1.32</v>
      </c>
      <c r="E112" s="149" t="s">
        <v>297</v>
      </c>
      <c r="H112" s="118"/>
      <c r="I112" s="118"/>
      <c r="J112" s="98"/>
      <c r="K112" s="150"/>
      <c r="L112" s="126"/>
    </row>
    <row r="113" spans="1:12" x14ac:dyDescent="0.2">
      <c r="A113" s="118">
        <v>17436</v>
      </c>
      <c r="B113" s="148">
        <v>42234</v>
      </c>
      <c r="C113" s="121">
        <v>24.9</v>
      </c>
      <c r="D113" s="121">
        <v>1.9</v>
      </c>
      <c r="E113" s="152"/>
      <c r="F113" s="18"/>
      <c r="G113" s="19"/>
      <c r="H113" s="121"/>
      <c r="I113" s="118"/>
      <c r="J113" s="98"/>
      <c r="K113" s="150"/>
      <c r="L113" s="126"/>
    </row>
    <row r="114" spans="1:12" x14ac:dyDescent="0.2">
      <c r="A114" s="118">
        <v>17437</v>
      </c>
      <c r="B114" s="148">
        <v>42234</v>
      </c>
      <c r="C114" s="121">
        <v>22.68</v>
      </c>
      <c r="D114" s="121">
        <v>1.73</v>
      </c>
      <c r="E114" s="152"/>
      <c r="H114" s="121"/>
      <c r="I114" s="118"/>
      <c r="J114" s="98"/>
      <c r="K114" s="150"/>
      <c r="L114" s="126"/>
    </row>
    <row r="115" spans="1:12" x14ac:dyDescent="0.2">
      <c r="A115" s="118">
        <v>17438</v>
      </c>
      <c r="B115" s="148">
        <v>42234</v>
      </c>
      <c r="C115" s="121">
        <v>114</v>
      </c>
      <c r="D115" s="121">
        <v>8.69</v>
      </c>
      <c r="E115" s="152"/>
      <c r="H115" s="121"/>
      <c r="I115" s="118"/>
      <c r="J115" s="98"/>
      <c r="K115" s="150"/>
      <c r="L115" s="126"/>
    </row>
    <row r="116" spans="1:12" x14ac:dyDescent="0.2">
      <c r="A116" s="118">
        <v>17439</v>
      </c>
      <c r="B116" s="148">
        <v>42234</v>
      </c>
      <c r="C116" s="121">
        <v>311.76</v>
      </c>
      <c r="D116" s="121">
        <v>23.76</v>
      </c>
      <c r="E116" s="149" t="s">
        <v>7</v>
      </c>
      <c r="H116" s="118"/>
      <c r="I116" s="118"/>
      <c r="J116" s="98"/>
      <c r="K116" s="150"/>
      <c r="L116" s="126"/>
    </row>
    <row r="117" spans="1:12" x14ac:dyDescent="0.2">
      <c r="A117" s="118">
        <v>17440</v>
      </c>
      <c r="B117" s="148">
        <v>42234</v>
      </c>
      <c r="C117" s="121">
        <v>21.65</v>
      </c>
      <c r="D117" s="121">
        <v>1.65</v>
      </c>
      <c r="E117" s="152"/>
      <c r="H117" s="121"/>
      <c r="I117" s="118"/>
      <c r="J117" s="98"/>
      <c r="K117" s="150"/>
      <c r="L117" s="126"/>
    </row>
    <row r="118" spans="1:12" x14ac:dyDescent="0.2">
      <c r="A118" s="118">
        <v>17441</v>
      </c>
      <c r="B118" s="148">
        <v>42234</v>
      </c>
      <c r="C118" s="121">
        <v>27.06</v>
      </c>
      <c r="D118" s="121">
        <v>2.06</v>
      </c>
      <c r="E118" s="149" t="s">
        <v>11</v>
      </c>
      <c r="H118" s="118"/>
      <c r="I118" s="118"/>
      <c r="J118" s="98"/>
      <c r="K118" s="150"/>
      <c r="L118" s="126"/>
    </row>
    <row r="119" spans="1:12" x14ac:dyDescent="0.2">
      <c r="A119" s="118">
        <v>17442</v>
      </c>
      <c r="B119" s="148">
        <v>42234</v>
      </c>
      <c r="C119" s="121">
        <v>53.04</v>
      </c>
      <c r="D119" s="121">
        <v>4.04</v>
      </c>
      <c r="E119" s="152"/>
      <c r="F119" s="18"/>
      <c r="G119" s="19"/>
      <c r="H119" s="121"/>
      <c r="I119" s="118"/>
      <c r="J119" s="98"/>
      <c r="K119" s="150"/>
      <c r="L119" s="126"/>
    </row>
    <row r="120" spans="1:12" x14ac:dyDescent="0.2">
      <c r="A120" s="118">
        <v>17443</v>
      </c>
      <c r="B120" s="148">
        <v>42234</v>
      </c>
      <c r="C120" s="121">
        <v>5.41</v>
      </c>
      <c r="D120" s="121">
        <v>0.41</v>
      </c>
      <c r="E120" s="149" t="s">
        <v>11</v>
      </c>
      <c r="F120" s="34">
        <f>15.15+C116+C118+C120</f>
        <v>359.38</v>
      </c>
      <c r="G120" s="34">
        <v>351</v>
      </c>
      <c r="H120" s="118"/>
      <c r="I120" s="118"/>
      <c r="J120" s="98"/>
      <c r="K120" s="150"/>
      <c r="L120" s="126"/>
    </row>
    <row r="121" spans="1:12" x14ac:dyDescent="0.2">
      <c r="A121" s="118">
        <v>17444</v>
      </c>
      <c r="B121" s="148">
        <v>42235</v>
      </c>
      <c r="C121" s="121">
        <v>285.37</v>
      </c>
      <c r="D121" s="121">
        <v>21.37</v>
      </c>
      <c r="E121" s="149" t="s">
        <v>437</v>
      </c>
      <c r="F121" s="115"/>
      <c r="G121" s="115"/>
      <c r="H121" s="118"/>
      <c r="I121" s="118"/>
      <c r="J121" s="98"/>
      <c r="K121" s="150"/>
      <c r="L121" s="126"/>
    </row>
    <row r="122" spans="1:12" x14ac:dyDescent="0.2">
      <c r="A122" s="118">
        <v>17445</v>
      </c>
      <c r="B122" s="148">
        <v>42235</v>
      </c>
      <c r="C122" s="121">
        <v>97.43</v>
      </c>
      <c r="D122" s="121">
        <v>7.43</v>
      </c>
      <c r="E122" s="149"/>
      <c r="H122" s="118"/>
      <c r="I122" s="118"/>
      <c r="J122" s="98"/>
      <c r="K122" s="150"/>
      <c r="L122" s="126"/>
    </row>
    <row r="123" spans="1:12" x14ac:dyDescent="0.2">
      <c r="A123" s="118">
        <v>17446</v>
      </c>
      <c r="B123" s="148">
        <v>42235</v>
      </c>
      <c r="C123" s="121">
        <v>146.53</v>
      </c>
      <c r="D123" s="121"/>
      <c r="E123" s="149" t="s">
        <v>368</v>
      </c>
      <c r="H123" s="118"/>
      <c r="I123" s="118"/>
      <c r="J123" s="98"/>
      <c r="K123" s="150"/>
      <c r="L123" s="126"/>
    </row>
    <row r="124" spans="1:12" x14ac:dyDescent="0.2">
      <c r="A124" s="118">
        <v>17447</v>
      </c>
      <c r="B124" s="148">
        <v>42235</v>
      </c>
      <c r="C124" s="121">
        <v>12.29</v>
      </c>
      <c r="D124" s="121">
        <v>0.94</v>
      </c>
      <c r="E124" s="152"/>
      <c r="H124" s="121"/>
      <c r="I124" s="118"/>
      <c r="J124" s="98"/>
      <c r="K124" s="150"/>
      <c r="L124" s="126"/>
    </row>
    <row r="125" spans="1:12" x14ac:dyDescent="0.2">
      <c r="A125" s="118">
        <v>17448</v>
      </c>
      <c r="B125" s="148">
        <v>42235</v>
      </c>
      <c r="C125" s="121">
        <v>145</v>
      </c>
      <c r="D125" s="121"/>
      <c r="E125" s="152"/>
      <c r="F125" s="18"/>
      <c r="G125" s="19"/>
      <c r="H125" s="121"/>
      <c r="I125" s="118"/>
      <c r="J125" s="98"/>
      <c r="K125" s="150"/>
      <c r="L125" s="126"/>
    </row>
    <row r="126" spans="1:12" x14ac:dyDescent="0.2">
      <c r="A126" s="118">
        <v>17449</v>
      </c>
      <c r="B126" s="148">
        <v>42235</v>
      </c>
      <c r="C126" s="121">
        <v>259</v>
      </c>
      <c r="D126" s="121">
        <v>19.739999999999998</v>
      </c>
      <c r="E126" s="152"/>
      <c r="F126" s="34">
        <f>+C123</f>
        <v>146.53</v>
      </c>
      <c r="G126" s="34">
        <v>145.71</v>
      </c>
      <c r="H126" s="121"/>
      <c r="I126" s="118"/>
      <c r="J126" s="98"/>
      <c r="K126" s="150"/>
      <c r="L126" s="126"/>
    </row>
    <row r="127" spans="1:12" x14ac:dyDescent="0.2">
      <c r="A127" s="118">
        <v>17450</v>
      </c>
      <c r="B127" s="148">
        <v>42236</v>
      </c>
      <c r="C127" s="121">
        <v>10.81</v>
      </c>
      <c r="D127" s="121">
        <v>0.82</v>
      </c>
      <c r="E127" s="152"/>
      <c r="F127" s="115"/>
      <c r="G127" s="115"/>
      <c r="H127" s="121"/>
      <c r="I127" s="118"/>
      <c r="J127" s="98"/>
      <c r="K127" s="150"/>
      <c r="L127" s="126"/>
    </row>
    <row r="128" spans="1:12" x14ac:dyDescent="0.2">
      <c r="A128" s="118">
        <v>17451</v>
      </c>
      <c r="B128" s="148">
        <v>42236</v>
      </c>
      <c r="C128" s="121">
        <v>51.96</v>
      </c>
      <c r="D128" s="121">
        <v>3.96</v>
      </c>
      <c r="E128" s="152"/>
      <c r="F128" s="18"/>
      <c r="G128" s="19"/>
      <c r="H128" s="121"/>
      <c r="I128" s="118"/>
      <c r="J128" s="98"/>
      <c r="K128" s="150"/>
      <c r="L128" s="126"/>
    </row>
    <row r="129" spans="1:12" x14ac:dyDescent="0.2">
      <c r="A129" s="118">
        <v>17452</v>
      </c>
      <c r="B129" s="148">
        <v>42236</v>
      </c>
      <c r="C129" s="121">
        <v>16</v>
      </c>
      <c r="D129" s="121"/>
      <c r="E129" s="149" t="s">
        <v>438</v>
      </c>
      <c r="F129" s="21"/>
      <c r="G129" s="22"/>
      <c r="H129" s="118"/>
      <c r="I129" s="118"/>
      <c r="J129" s="98"/>
      <c r="K129" s="150"/>
      <c r="L129" s="126"/>
    </row>
    <row r="130" spans="1:12" x14ac:dyDescent="0.2">
      <c r="A130" s="118">
        <v>17453</v>
      </c>
      <c r="B130" s="148">
        <v>42236</v>
      </c>
      <c r="C130" s="121">
        <v>6.5</v>
      </c>
      <c r="D130" s="121">
        <v>0.5</v>
      </c>
      <c r="E130" s="152"/>
      <c r="F130" s="115"/>
      <c r="G130" s="115"/>
      <c r="H130" s="121"/>
      <c r="I130" s="118"/>
      <c r="J130" s="98"/>
      <c r="K130" s="150"/>
      <c r="L130" s="126"/>
    </row>
    <row r="131" spans="1:12" x14ac:dyDescent="0.2">
      <c r="A131" s="118">
        <v>17454</v>
      </c>
      <c r="B131" s="148">
        <v>42236</v>
      </c>
      <c r="C131" s="121">
        <v>258.72000000000003</v>
      </c>
      <c r="D131" s="121">
        <v>19.72</v>
      </c>
      <c r="E131" s="151" t="s">
        <v>439</v>
      </c>
      <c r="H131" s="121"/>
      <c r="I131" s="118"/>
      <c r="J131" s="98"/>
      <c r="K131" s="150"/>
      <c r="L131" s="126"/>
    </row>
    <row r="132" spans="1:12" x14ac:dyDescent="0.2">
      <c r="A132" s="118">
        <v>17455</v>
      </c>
      <c r="B132" s="148">
        <v>42236</v>
      </c>
      <c r="C132" s="121">
        <v>150</v>
      </c>
      <c r="D132" s="121">
        <v>11.43</v>
      </c>
      <c r="E132" s="152"/>
      <c r="F132" s="18"/>
      <c r="G132" s="19"/>
      <c r="H132" s="121"/>
      <c r="I132" s="118"/>
      <c r="J132" s="98"/>
      <c r="K132" s="150"/>
      <c r="L132" s="126"/>
    </row>
    <row r="133" spans="1:12" x14ac:dyDescent="0.2">
      <c r="A133" s="118">
        <v>17456</v>
      </c>
      <c r="B133" s="148">
        <v>42236</v>
      </c>
      <c r="C133" s="121">
        <v>27.06</v>
      </c>
      <c r="D133" s="121">
        <v>2.06</v>
      </c>
      <c r="E133" s="152"/>
      <c r="F133" s="34">
        <v>0</v>
      </c>
      <c r="G133" s="34">
        <f>+F133*0.97831</f>
        <v>0</v>
      </c>
      <c r="H133" s="121"/>
      <c r="I133" s="118"/>
      <c r="J133" s="98"/>
      <c r="K133" s="150"/>
      <c r="L133" s="126"/>
    </row>
    <row r="134" spans="1:12" x14ac:dyDescent="0.2">
      <c r="A134" s="118">
        <v>17457</v>
      </c>
      <c r="B134" s="148">
        <v>42237</v>
      </c>
      <c r="C134" s="121">
        <v>48.71</v>
      </c>
      <c r="D134" s="121">
        <v>3.71</v>
      </c>
      <c r="E134" s="151" t="s">
        <v>440</v>
      </c>
      <c r="F134" s="115"/>
      <c r="G134" s="115"/>
      <c r="H134" s="121"/>
      <c r="I134" s="118"/>
      <c r="J134" s="98"/>
      <c r="K134" s="150"/>
      <c r="L134" s="126"/>
    </row>
    <row r="135" spans="1:12" x14ac:dyDescent="0.2">
      <c r="A135" s="118">
        <v>17458</v>
      </c>
      <c r="B135" s="148">
        <v>42237</v>
      </c>
      <c r="C135" s="121">
        <v>5</v>
      </c>
      <c r="D135" s="121">
        <v>0.38</v>
      </c>
      <c r="E135" s="152"/>
      <c r="F135" s="18"/>
      <c r="G135" s="19"/>
      <c r="H135" s="121"/>
      <c r="I135" s="118"/>
      <c r="J135" s="98"/>
      <c r="K135" s="150"/>
      <c r="L135" s="126"/>
    </row>
    <row r="136" spans="1:12" x14ac:dyDescent="0.2">
      <c r="A136" s="118">
        <v>17459</v>
      </c>
      <c r="B136" s="148">
        <v>42237</v>
      </c>
      <c r="C136" s="121">
        <v>214.88</v>
      </c>
      <c r="D136" s="121">
        <v>16.38</v>
      </c>
      <c r="E136" s="152"/>
      <c r="F136" s="18"/>
      <c r="G136" s="19"/>
      <c r="H136" s="121"/>
      <c r="I136" s="118"/>
      <c r="J136" s="98"/>
      <c r="K136" s="150"/>
      <c r="L136" s="126"/>
    </row>
    <row r="137" spans="1:12" x14ac:dyDescent="0.2">
      <c r="A137" s="118">
        <v>17460</v>
      </c>
      <c r="B137" s="148">
        <v>42237</v>
      </c>
      <c r="C137" s="121">
        <v>10.83</v>
      </c>
      <c r="D137" s="121">
        <v>0.83</v>
      </c>
      <c r="E137" s="152"/>
      <c r="F137" s="18"/>
      <c r="G137" s="19"/>
      <c r="H137" s="121"/>
      <c r="I137" s="118"/>
      <c r="J137" s="98"/>
      <c r="K137" s="150"/>
      <c r="L137" s="126"/>
    </row>
    <row r="138" spans="1:12" x14ac:dyDescent="0.2">
      <c r="A138" s="118">
        <v>17461</v>
      </c>
      <c r="B138" s="148">
        <v>42237</v>
      </c>
      <c r="C138" s="121">
        <v>58.46</v>
      </c>
      <c r="D138" s="121">
        <v>4.46</v>
      </c>
      <c r="E138" s="152"/>
      <c r="H138" s="121"/>
      <c r="I138" s="118"/>
      <c r="J138" s="98"/>
      <c r="K138" s="150"/>
      <c r="L138" s="126"/>
    </row>
    <row r="139" spans="1:12" x14ac:dyDescent="0.2">
      <c r="A139" s="118">
        <v>17462</v>
      </c>
      <c r="B139" s="148">
        <v>42237</v>
      </c>
      <c r="C139" s="121">
        <v>321.5</v>
      </c>
      <c r="D139" s="121">
        <v>24.5</v>
      </c>
      <c r="E139" s="149" t="s">
        <v>11</v>
      </c>
      <c r="H139" s="118"/>
      <c r="I139" s="118"/>
      <c r="J139" s="98"/>
      <c r="K139" s="150"/>
      <c r="L139" s="126"/>
    </row>
    <row r="140" spans="1:12" x14ac:dyDescent="0.2">
      <c r="A140" s="118">
        <v>17463</v>
      </c>
      <c r="B140" s="148">
        <v>42237</v>
      </c>
      <c r="C140" s="121">
        <v>20</v>
      </c>
      <c r="D140" s="121">
        <v>1.52</v>
      </c>
      <c r="E140" s="152"/>
      <c r="F140" s="18"/>
      <c r="G140" s="19"/>
      <c r="H140" s="121"/>
      <c r="I140" s="118"/>
      <c r="J140" s="98"/>
      <c r="K140" s="150"/>
      <c r="L140" s="126"/>
    </row>
    <row r="141" spans="1:12" x14ac:dyDescent="0.2">
      <c r="A141" s="118">
        <v>17464</v>
      </c>
      <c r="B141" s="148">
        <v>42237</v>
      </c>
      <c r="C141" s="121">
        <v>45</v>
      </c>
      <c r="D141" s="121">
        <v>3.43</v>
      </c>
      <c r="E141" s="149" t="s">
        <v>11</v>
      </c>
      <c r="F141" s="34">
        <f>+C139+365.37+1+C141</f>
        <v>732.87</v>
      </c>
      <c r="G141" s="34">
        <v>722.33</v>
      </c>
      <c r="H141" s="118"/>
      <c r="I141" s="118"/>
      <c r="J141" s="98"/>
      <c r="K141" s="150"/>
      <c r="L141" s="126"/>
    </row>
    <row r="142" spans="1:12" x14ac:dyDescent="0.2">
      <c r="A142" s="118">
        <v>17465</v>
      </c>
      <c r="B142" s="148">
        <v>42238</v>
      </c>
      <c r="C142" s="121">
        <v>59.43</v>
      </c>
      <c r="D142" s="121">
        <v>4.53</v>
      </c>
      <c r="E142" s="149" t="s">
        <v>11</v>
      </c>
      <c r="H142" s="118"/>
      <c r="I142" s="118"/>
      <c r="J142" s="98"/>
      <c r="K142" s="150"/>
      <c r="L142" s="126"/>
    </row>
    <row r="143" spans="1:12" x14ac:dyDescent="0.2">
      <c r="A143" s="118">
        <v>17466</v>
      </c>
      <c r="B143" s="148">
        <v>42238</v>
      </c>
      <c r="C143" s="121">
        <v>217</v>
      </c>
      <c r="D143" s="121">
        <v>16.54</v>
      </c>
      <c r="E143" s="152"/>
      <c r="F143" s="18"/>
      <c r="G143" s="19"/>
      <c r="H143" s="121"/>
      <c r="I143" s="118"/>
      <c r="J143" s="98"/>
      <c r="K143" s="150"/>
      <c r="L143" s="126"/>
    </row>
    <row r="144" spans="1:12" x14ac:dyDescent="0.2">
      <c r="A144" s="118">
        <v>17467</v>
      </c>
      <c r="B144" s="148">
        <v>42238</v>
      </c>
      <c r="C144" s="121">
        <v>199</v>
      </c>
      <c r="D144" s="121">
        <v>15.17</v>
      </c>
      <c r="E144" s="152"/>
      <c r="H144" s="121"/>
      <c r="I144" s="118"/>
      <c r="J144" s="98"/>
      <c r="K144" s="150"/>
      <c r="L144" s="126"/>
    </row>
    <row r="145" spans="1:12" x14ac:dyDescent="0.2">
      <c r="A145" s="118">
        <v>17468</v>
      </c>
      <c r="B145" s="148">
        <v>42238</v>
      </c>
      <c r="C145" s="121">
        <v>84</v>
      </c>
      <c r="D145" s="121"/>
      <c r="E145" s="151" t="s">
        <v>281</v>
      </c>
      <c r="H145" s="121"/>
      <c r="I145" s="118"/>
      <c r="J145" s="98"/>
      <c r="K145" s="150"/>
      <c r="L145" s="126"/>
    </row>
    <row r="146" spans="1:12" x14ac:dyDescent="0.2">
      <c r="A146" s="118">
        <v>17469</v>
      </c>
      <c r="B146" s="148">
        <v>42238</v>
      </c>
      <c r="C146" s="121">
        <v>122.32</v>
      </c>
      <c r="D146" s="121">
        <v>9.32</v>
      </c>
      <c r="E146" s="152"/>
      <c r="F146" s="18"/>
      <c r="G146" s="19"/>
      <c r="H146" s="121"/>
      <c r="I146" s="118"/>
      <c r="J146" s="98"/>
      <c r="K146" s="150"/>
      <c r="L146" s="126"/>
    </row>
    <row r="147" spans="1:12" x14ac:dyDescent="0.2">
      <c r="A147" s="118">
        <v>17470</v>
      </c>
      <c r="B147" s="148">
        <v>42238</v>
      </c>
      <c r="C147" s="121">
        <v>0</v>
      </c>
      <c r="D147" s="121">
        <v>0</v>
      </c>
      <c r="E147" s="152"/>
      <c r="F147" s="18"/>
      <c r="G147" s="19"/>
      <c r="H147" s="121"/>
      <c r="I147" s="118"/>
      <c r="J147" s="98"/>
      <c r="K147" s="150"/>
      <c r="L147" s="126"/>
    </row>
    <row r="148" spans="1:12" x14ac:dyDescent="0.2">
      <c r="A148" s="118">
        <v>17471</v>
      </c>
      <c r="B148" s="148">
        <v>42238</v>
      </c>
      <c r="C148" s="121">
        <v>30.42</v>
      </c>
      <c r="D148" s="121">
        <v>2.3199999999999998</v>
      </c>
      <c r="E148" s="152"/>
      <c r="H148" s="121"/>
      <c r="I148" s="118"/>
      <c r="J148" s="98"/>
      <c r="K148" s="150"/>
      <c r="L148" s="126"/>
    </row>
    <row r="149" spans="1:12" x14ac:dyDescent="0.2">
      <c r="A149" s="118">
        <v>17472</v>
      </c>
      <c r="B149" s="148">
        <v>42238</v>
      </c>
      <c r="C149" s="121">
        <v>2.7</v>
      </c>
      <c r="D149" s="121">
        <v>0.21</v>
      </c>
      <c r="E149" s="152"/>
      <c r="H149" s="121"/>
      <c r="I149" s="118"/>
      <c r="J149" s="98"/>
      <c r="K149" s="150"/>
      <c r="L149" s="126"/>
    </row>
    <row r="150" spans="1:12" x14ac:dyDescent="0.2">
      <c r="A150" s="118">
        <v>17473</v>
      </c>
      <c r="B150" s="148">
        <v>42238</v>
      </c>
      <c r="C150" s="121">
        <v>17.32</v>
      </c>
      <c r="D150" s="121">
        <v>1.32</v>
      </c>
      <c r="E150" s="149" t="s">
        <v>21</v>
      </c>
      <c r="F150" s="21"/>
      <c r="G150" s="22"/>
      <c r="H150" s="118"/>
      <c r="I150" s="118"/>
      <c r="J150" s="98"/>
      <c r="K150" s="150"/>
      <c r="L150" s="126"/>
    </row>
    <row r="151" spans="1:12" x14ac:dyDescent="0.2">
      <c r="A151" s="118">
        <v>17474</v>
      </c>
      <c r="B151" s="148">
        <v>42238</v>
      </c>
      <c r="C151" s="121">
        <v>21.65</v>
      </c>
      <c r="D151" s="121">
        <v>1.65</v>
      </c>
      <c r="E151" s="149" t="s">
        <v>11</v>
      </c>
      <c r="F151" s="21"/>
      <c r="G151" s="22"/>
      <c r="H151" s="118"/>
      <c r="I151" s="118"/>
      <c r="J151" s="98"/>
      <c r="K151" s="150"/>
      <c r="L151" s="126"/>
    </row>
    <row r="152" spans="1:12" x14ac:dyDescent="0.2">
      <c r="A152" s="118">
        <v>17475</v>
      </c>
      <c r="B152" s="148">
        <v>42238</v>
      </c>
      <c r="C152" s="121">
        <v>45</v>
      </c>
      <c r="D152" s="121">
        <v>3.43</v>
      </c>
      <c r="E152" s="151"/>
      <c r="F152" s="18"/>
      <c r="G152" s="19"/>
      <c r="H152" s="121"/>
      <c r="I152" s="118"/>
      <c r="J152" s="98"/>
      <c r="K152" s="150"/>
      <c r="L152" s="126"/>
    </row>
    <row r="153" spans="1:12" x14ac:dyDescent="0.2">
      <c r="A153" s="118">
        <v>17476</v>
      </c>
      <c r="B153" s="148">
        <v>42238</v>
      </c>
      <c r="C153" s="121">
        <v>48.44</v>
      </c>
      <c r="D153" s="121">
        <v>3.69</v>
      </c>
      <c r="E153" s="149" t="s">
        <v>11</v>
      </c>
      <c r="F153" s="21"/>
      <c r="G153" s="22"/>
      <c r="H153" s="118"/>
      <c r="I153" s="118"/>
      <c r="J153" s="98"/>
      <c r="K153" s="150"/>
      <c r="L153" s="126"/>
    </row>
    <row r="154" spans="1:12" x14ac:dyDescent="0.2">
      <c r="A154" s="118">
        <v>17477</v>
      </c>
      <c r="B154" s="148">
        <v>42238</v>
      </c>
      <c r="C154" s="121">
        <v>11.85</v>
      </c>
      <c r="D154" s="121">
        <v>0.9</v>
      </c>
      <c r="E154" s="152"/>
      <c r="H154" s="121"/>
      <c r="I154" s="118"/>
      <c r="J154" s="98"/>
      <c r="K154" s="150"/>
      <c r="L154" s="126"/>
    </row>
    <row r="155" spans="1:12" x14ac:dyDescent="0.2">
      <c r="A155" s="118">
        <v>17478</v>
      </c>
      <c r="B155" s="148">
        <v>42238</v>
      </c>
      <c r="C155" s="121">
        <v>456.82</v>
      </c>
      <c r="D155" s="121">
        <v>34.82</v>
      </c>
      <c r="E155" s="152"/>
      <c r="F155" s="34">
        <f>+C142+C151+C153+167.02</f>
        <v>296.53999999999996</v>
      </c>
      <c r="G155" s="34">
        <v>292.95999999999998</v>
      </c>
      <c r="H155" s="121"/>
      <c r="I155" s="118"/>
      <c r="J155" s="98"/>
      <c r="K155" s="150"/>
      <c r="L155" s="126"/>
    </row>
    <row r="156" spans="1:12" x14ac:dyDescent="0.2">
      <c r="A156" s="118">
        <v>17479</v>
      </c>
      <c r="B156" s="148">
        <v>42240</v>
      </c>
      <c r="C156" s="121">
        <v>117.99</v>
      </c>
      <c r="D156" s="121">
        <v>8.99</v>
      </c>
      <c r="E156" s="149" t="s">
        <v>11</v>
      </c>
      <c r="H156" s="121"/>
      <c r="I156" s="118"/>
      <c r="J156" s="98"/>
      <c r="K156" s="150"/>
      <c r="L156" s="126"/>
    </row>
    <row r="157" spans="1:12" x14ac:dyDescent="0.2">
      <c r="A157" s="118">
        <v>17480</v>
      </c>
      <c r="B157" s="148">
        <v>42240</v>
      </c>
      <c r="C157" s="121">
        <v>7.5200000000000005</v>
      </c>
      <c r="D157" s="121">
        <v>0.56999999999999995</v>
      </c>
      <c r="E157" s="152"/>
      <c r="H157" s="121"/>
      <c r="I157" s="118"/>
      <c r="J157" s="98"/>
      <c r="K157" s="150"/>
      <c r="L157" s="126"/>
    </row>
    <row r="158" spans="1:12" x14ac:dyDescent="0.2">
      <c r="A158" s="118">
        <v>17481</v>
      </c>
      <c r="B158" s="148">
        <v>42240</v>
      </c>
      <c r="C158" s="121">
        <v>23.82</v>
      </c>
      <c r="D158" s="121">
        <v>1.82</v>
      </c>
      <c r="E158" s="149" t="s">
        <v>11</v>
      </c>
      <c r="H158" s="118"/>
      <c r="I158" s="118"/>
      <c r="J158" s="98"/>
      <c r="K158" s="150"/>
      <c r="L158" s="126"/>
    </row>
    <row r="159" spans="1:12" x14ac:dyDescent="0.2">
      <c r="A159" s="118">
        <v>17482</v>
      </c>
      <c r="B159" s="148">
        <v>42240</v>
      </c>
      <c r="C159" s="121">
        <v>90.93</v>
      </c>
      <c r="D159" s="121">
        <v>6.93</v>
      </c>
      <c r="E159" s="149" t="s">
        <v>11</v>
      </c>
      <c r="F159" s="21"/>
      <c r="G159" s="22"/>
      <c r="H159" s="118"/>
      <c r="I159" s="118"/>
      <c r="J159" s="98"/>
      <c r="K159" s="150"/>
      <c r="L159" s="126"/>
    </row>
    <row r="160" spans="1:12" x14ac:dyDescent="0.2">
      <c r="A160" s="118">
        <v>17483</v>
      </c>
      <c r="B160" s="148">
        <v>42240</v>
      </c>
      <c r="C160" s="121">
        <v>10.83</v>
      </c>
      <c r="D160" s="121">
        <v>0.83</v>
      </c>
      <c r="E160" s="151"/>
      <c r="F160" s="18"/>
      <c r="G160" s="19"/>
      <c r="H160" s="121"/>
      <c r="I160" s="118"/>
      <c r="J160" s="98"/>
      <c r="K160" s="150"/>
      <c r="L160" s="126"/>
    </row>
    <row r="161" spans="1:12" x14ac:dyDescent="0.2">
      <c r="A161" s="118">
        <v>17484</v>
      </c>
      <c r="B161" s="148">
        <v>42240</v>
      </c>
      <c r="C161" s="121">
        <v>10.83</v>
      </c>
      <c r="D161" s="121">
        <v>0.83</v>
      </c>
      <c r="E161" s="149" t="s">
        <v>11</v>
      </c>
      <c r="H161" s="118"/>
      <c r="I161" s="118"/>
      <c r="J161" s="98"/>
      <c r="K161" s="150"/>
      <c r="L161" s="126"/>
    </row>
    <row r="162" spans="1:12" x14ac:dyDescent="0.2">
      <c r="A162" s="118">
        <v>17485</v>
      </c>
      <c r="B162" s="148">
        <v>42240</v>
      </c>
      <c r="C162" s="121">
        <v>16.239999999999998</v>
      </c>
      <c r="D162" s="121">
        <v>1.24</v>
      </c>
      <c r="E162" s="152"/>
      <c r="F162" s="34">
        <f>+C156+C158+C159+C161</f>
        <v>243.57000000000002</v>
      </c>
      <c r="G162" s="34">
        <v>239.69</v>
      </c>
      <c r="H162" s="121"/>
      <c r="I162" s="118"/>
      <c r="J162" s="98"/>
      <c r="K162" s="150"/>
      <c r="L162" s="126"/>
    </row>
    <row r="163" spans="1:12" x14ac:dyDescent="0.2">
      <c r="A163" s="118">
        <v>17486</v>
      </c>
      <c r="B163" s="148">
        <v>42241</v>
      </c>
      <c r="C163" s="121">
        <v>36.75</v>
      </c>
      <c r="D163" s="121">
        <v>2.8</v>
      </c>
      <c r="E163" s="149"/>
      <c r="H163" s="118"/>
      <c r="I163" s="118"/>
      <c r="J163" s="98"/>
      <c r="K163" s="150"/>
      <c r="L163" s="126"/>
    </row>
    <row r="164" spans="1:12" x14ac:dyDescent="0.2">
      <c r="A164" s="118">
        <v>17487</v>
      </c>
      <c r="B164" s="148">
        <v>42241</v>
      </c>
      <c r="C164" s="121">
        <v>21.65</v>
      </c>
      <c r="D164" s="121">
        <v>1.65</v>
      </c>
      <c r="E164" s="149" t="s">
        <v>11</v>
      </c>
      <c r="H164" s="118"/>
      <c r="I164" s="118"/>
      <c r="J164" s="98"/>
      <c r="K164" s="150"/>
      <c r="L164" s="126"/>
    </row>
    <row r="165" spans="1:12" x14ac:dyDescent="0.2">
      <c r="A165" s="118">
        <v>17488</v>
      </c>
      <c r="B165" s="148">
        <v>42241</v>
      </c>
      <c r="C165" s="121">
        <v>806.46</v>
      </c>
      <c r="D165" s="121">
        <v>61.46</v>
      </c>
      <c r="E165" s="149" t="s">
        <v>21</v>
      </c>
      <c r="H165" s="118"/>
      <c r="I165" s="118"/>
      <c r="J165" s="98"/>
      <c r="K165" s="150"/>
      <c r="L165" s="126"/>
    </row>
    <row r="166" spans="1:12" x14ac:dyDescent="0.2">
      <c r="A166" s="118">
        <v>17489</v>
      </c>
      <c r="B166" s="148">
        <v>42241</v>
      </c>
      <c r="C166" s="121">
        <v>1096</v>
      </c>
      <c r="D166" s="121"/>
      <c r="E166" s="149" t="s">
        <v>441</v>
      </c>
      <c r="H166" s="118"/>
      <c r="I166" s="118"/>
      <c r="J166" s="98"/>
      <c r="K166" s="150"/>
      <c r="L166" s="126"/>
    </row>
    <row r="167" spans="1:12" x14ac:dyDescent="0.2">
      <c r="A167" s="118">
        <v>17490</v>
      </c>
      <c r="B167" s="148">
        <v>42241</v>
      </c>
      <c r="C167" s="121">
        <v>54.290000000000006</v>
      </c>
      <c r="D167" s="121">
        <v>4.1399999999999997</v>
      </c>
      <c r="E167" s="149"/>
      <c r="H167" s="118"/>
      <c r="I167" s="118"/>
      <c r="J167" s="98"/>
      <c r="K167" s="150"/>
      <c r="L167" s="126"/>
    </row>
    <row r="168" spans="1:12" x14ac:dyDescent="0.2">
      <c r="A168" s="118">
        <v>17491</v>
      </c>
      <c r="B168" s="148">
        <v>42241</v>
      </c>
      <c r="C168" s="121">
        <v>62.79</v>
      </c>
      <c r="D168" s="121">
        <v>4.79</v>
      </c>
      <c r="E168" s="149" t="s">
        <v>7</v>
      </c>
      <c r="H168" s="118"/>
      <c r="I168" s="118"/>
      <c r="J168" s="98"/>
      <c r="K168" s="150"/>
      <c r="L168" s="126"/>
    </row>
    <row r="169" spans="1:12" x14ac:dyDescent="0.2">
      <c r="A169" s="118">
        <v>17492</v>
      </c>
      <c r="B169" s="148">
        <v>42241</v>
      </c>
      <c r="C169" s="121">
        <v>277.66000000000003</v>
      </c>
      <c r="D169" s="121">
        <v>21.16</v>
      </c>
      <c r="E169" s="149" t="s">
        <v>11</v>
      </c>
      <c r="H169" s="118"/>
      <c r="I169" s="118"/>
      <c r="J169" s="98"/>
      <c r="K169" s="150"/>
      <c r="L169" s="126"/>
    </row>
    <row r="170" spans="1:12" x14ac:dyDescent="0.2">
      <c r="A170" s="118">
        <v>17493</v>
      </c>
      <c r="B170" s="148">
        <v>42241</v>
      </c>
      <c r="C170" s="121">
        <v>60.62</v>
      </c>
      <c r="D170" s="121">
        <v>4.62</v>
      </c>
      <c r="E170" s="152"/>
      <c r="F170" s="34">
        <f>+C34+0.03+C164+C168+C169</f>
        <v>2178.13</v>
      </c>
      <c r="G170" s="34">
        <v>2118.85</v>
      </c>
      <c r="H170" s="153" t="s">
        <v>442</v>
      </c>
      <c r="I170" s="118"/>
      <c r="J170" s="98"/>
      <c r="K170" s="150"/>
      <c r="L170" s="126"/>
    </row>
    <row r="171" spans="1:12" x14ac:dyDescent="0.2">
      <c r="A171" s="118">
        <v>17494</v>
      </c>
      <c r="B171" s="148">
        <v>42242</v>
      </c>
      <c r="C171" s="121">
        <v>17.27</v>
      </c>
      <c r="D171" s="121">
        <v>1.32</v>
      </c>
      <c r="E171" s="152"/>
      <c r="J171" s="98"/>
      <c r="K171" s="150"/>
      <c r="L171" s="126"/>
    </row>
    <row r="172" spans="1:12" x14ac:dyDescent="0.2">
      <c r="A172" s="118">
        <v>17495</v>
      </c>
      <c r="B172" s="148">
        <v>42242</v>
      </c>
      <c r="C172" s="121">
        <v>113.55000000000001</v>
      </c>
      <c r="D172" s="121">
        <v>8.65</v>
      </c>
      <c r="E172" s="149" t="s">
        <v>21</v>
      </c>
      <c r="J172" s="98"/>
      <c r="K172" s="150"/>
      <c r="L172" s="126"/>
    </row>
    <row r="173" spans="1:12" x14ac:dyDescent="0.2">
      <c r="A173" s="118">
        <v>17496</v>
      </c>
      <c r="B173" s="148">
        <v>42242</v>
      </c>
      <c r="C173" s="121">
        <v>180.12</v>
      </c>
      <c r="D173" s="121">
        <v>13.73</v>
      </c>
      <c r="E173" s="154"/>
      <c r="F173" s="155"/>
      <c r="G173" s="155"/>
      <c r="J173" s="98"/>
      <c r="K173" s="150"/>
      <c r="L173" s="126"/>
    </row>
    <row r="174" spans="1:12" x14ac:dyDescent="0.2">
      <c r="A174" s="118">
        <v>17497</v>
      </c>
      <c r="B174" s="148">
        <v>42242</v>
      </c>
      <c r="C174" s="121">
        <v>18.399999999999999</v>
      </c>
      <c r="D174" s="121">
        <v>1.4</v>
      </c>
      <c r="E174" s="149" t="s">
        <v>11</v>
      </c>
      <c r="H174" s="121"/>
      <c r="I174" s="118"/>
      <c r="J174" s="98"/>
      <c r="K174" s="150"/>
      <c r="L174" s="126"/>
    </row>
    <row r="175" spans="1:12" x14ac:dyDescent="0.2">
      <c r="A175" s="118">
        <v>17498</v>
      </c>
      <c r="B175" s="148">
        <v>42242</v>
      </c>
      <c r="C175" s="121">
        <v>297.69</v>
      </c>
      <c r="D175" s="121">
        <v>22.69</v>
      </c>
      <c r="E175" s="149" t="s">
        <v>7</v>
      </c>
      <c r="F175" s="34">
        <f>+C174+C175+23.55</f>
        <v>339.64</v>
      </c>
      <c r="G175" s="34">
        <v>334.62</v>
      </c>
      <c r="H175" s="121"/>
      <c r="I175" s="118"/>
      <c r="J175" s="98"/>
      <c r="K175" s="150"/>
      <c r="L175" s="126"/>
    </row>
    <row r="176" spans="1:12" x14ac:dyDescent="0.2">
      <c r="A176" s="118">
        <v>17499</v>
      </c>
      <c r="B176" s="148">
        <v>42243</v>
      </c>
      <c r="C176" s="121">
        <v>54.13</v>
      </c>
      <c r="D176" s="121">
        <v>4.13</v>
      </c>
      <c r="E176" s="149" t="s">
        <v>443</v>
      </c>
      <c r="H176" s="121"/>
      <c r="I176" s="118"/>
      <c r="J176" s="98"/>
      <c r="K176" s="150"/>
      <c r="L176" s="126"/>
    </row>
    <row r="177" spans="1:12" x14ac:dyDescent="0.2">
      <c r="A177" s="118">
        <v>17500</v>
      </c>
      <c r="B177" s="148">
        <v>42243</v>
      </c>
      <c r="C177" s="121">
        <v>19.43</v>
      </c>
      <c r="D177" s="121">
        <v>1.48</v>
      </c>
      <c r="E177" s="152"/>
      <c r="I177" s="156"/>
      <c r="J177" s="98"/>
      <c r="K177" s="150"/>
      <c r="L177" s="126"/>
    </row>
    <row r="178" spans="1:12" x14ac:dyDescent="0.2">
      <c r="A178" s="118">
        <v>17501</v>
      </c>
      <c r="B178" s="148">
        <v>42243</v>
      </c>
      <c r="C178" s="121">
        <v>166.71</v>
      </c>
      <c r="D178" s="121">
        <v>12.71</v>
      </c>
      <c r="E178" s="149" t="s">
        <v>11</v>
      </c>
      <c r="H178" s="121"/>
      <c r="I178" s="118"/>
      <c r="J178" s="98"/>
      <c r="K178" s="150"/>
      <c r="L178" s="126"/>
    </row>
    <row r="179" spans="1:12" x14ac:dyDescent="0.2">
      <c r="A179" s="118">
        <v>17502</v>
      </c>
      <c r="B179" s="148">
        <v>42243</v>
      </c>
      <c r="C179" s="121">
        <v>109.28</v>
      </c>
      <c r="D179" s="121">
        <v>8.33</v>
      </c>
      <c r="E179" s="149" t="s">
        <v>7</v>
      </c>
      <c r="F179" s="34">
        <f>178.72+34.13+C178+606.46+C179</f>
        <v>1095.3</v>
      </c>
      <c r="G179" s="34">
        <v>1089.98</v>
      </c>
      <c r="H179" s="118"/>
      <c r="I179" s="118"/>
      <c r="J179" s="98"/>
      <c r="K179" s="150"/>
      <c r="L179" s="126"/>
    </row>
    <row r="180" spans="1:12" x14ac:dyDescent="0.2">
      <c r="A180" s="118">
        <v>17503</v>
      </c>
      <c r="B180" s="148">
        <v>42244</v>
      </c>
      <c r="C180" s="121">
        <v>63</v>
      </c>
      <c r="D180" s="121">
        <v>4.8</v>
      </c>
      <c r="E180" s="152"/>
      <c r="H180" s="121"/>
      <c r="I180" s="118"/>
      <c r="J180" s="98"/>
      <c r="K180" s="150"/>
      <c r="L180" s="126"/>
    </row>
    <row r="181" spans="1:12" x14ac:dyDescent="0.2">
      <c r="A181" s="118">
        <v>17504</v>
      </c>
      <c r="B181" s="148">
        <v>42244</v>
      </c>
      <c r="C181" s="121">
        <v>74.710000000000008</v>
      </c>
      <c r="D181" s="121">
        <v>5.69</v>
      </c>
      <c r="E181" s="149" t="s">
        <v>11</v>
      </c>
      <c r="H181" s="118"/>
      <c r="I181" s="118"/>
      <c r="J181" s="98"/>
      <c r="K181" s="150"/>
      <c r="L181" s="126"/>
    </row>
    <row r="182" spans="1:12" x14ac:dyDescent="0.2">
      <c r="A182" s="118">
        <v>17505</v>
      </c>
      <c r="B182" s="148">
        <v>42244</v>
      </c>
      <c r="C182" s="121">
        <v>162.38</v>
      </c>
      <c r="D182" s="121">
        <v>12.38</v>
      </c>
      <c r="E182" s="149" t="s">
        <v>444</v>
      </c>
      <c r="H182" s="118"/>
      <c r="I182" s="118"/>
      <c r="J182" s="98"/>
      <c r="K182" s="150"/>
      <c r="L182" s="126"/>
    </row>
    <row r="183" spans="1:12" x14ac:dyDescent="0.2">
      <c r="A183" s="118">
        <v>17506</v>
      </c>
      <c r="B183" s="148">
        <v>42244</v>
      </c>
      <c r="C183" s="121">
        <v>12.99</v>
      </c>
      <c r="D183" s="121">
        <v>0.99</v>
      </c>
      <c r="E183" s="152"/>
      <c r="H183" s="121"/>
      <c r="I183" s="118"/>
      <c r="J183" s="98"/>
      <c r="K183" s="150"/>
      <c r="L183" s="126"/>
    </row>
    <row r="184" spans="1:12" x14ac:dyDescent="0.2">
      <c r="A184" s="118">
        <v>17507</v>
      </c>
      <c r="B184" s="148">
        <v>42244</v>
      </c>
      <c r="C184" s="121">
        <v>21.65</v>
      </c>
      <c r="D184" s="121">
        <v>1.65</v>
      </c>
      <c r="E184" s="152"/>
      <c r="F184" s="34">
        <f>+C181+36.81</f>
        <v>111.52000000000001</v>
      </c>
      <c r="G184" s="34">
        <v>109.75</v>
      </c>
      <c r="H184" s="121"/>
      <c r="I184" s="118"/>
      <c r="J184" s="98"/>
      <c r="K184" s="150"/>
      <c r="L184" s="126"/>
    </row>
    <row r="185" spans="1:12" x14ac:dyDescent="0.2">
      <c r="A185" s="118">
        <v>17508</v>
      </c>
      <c r="B185" s="148">
        <v>42245</v>
      </c>
      <c r="C185" s="121">
        <v>396.09</v>
      </c>
      <c r="D185" s="121">
        <v>30.19</v>
      </c>
      <c r="E185" s="149" t="s">
        <v>11</v>
      </c>
      <c r="F185" s="21"/>
      <c r="G185" s="22"/>
      <c r="H185" s="118"/>
      <c r="I185" s="118"/>
      <c r="J185" s="98"/>
      <c r="K185" s="150"/>
      <c r="L185" s="126"/>
    </row>
    <row r="186" spans="1:12" x14ac:dyDescent="0.2">
      <c r="A186" s="118">
        <v>17509</v>
      </c>
      <c r="B186" s="148">
        <v>42245</v>
      </c>
      <c r="C186" s="121">
        <v>34.64</v>
      </c>
      <c r="D186" s="121">
        <v>2.64</v>
      </c>
      <c r="E186" s="149" t="s">
        <v>11</v>
      </c>
      <c r="F186" s="21"/>
      <c r="G186" s="22"/>
      <c r="H186" s="118"/>
      <c r="I186" s="118"/>
      <c r="J186" s="98"/>
      <c r="K186" s="150"/>
      <c r="L186" s="126"/>
    </row>
    <row r="187" spans="1:12" x14ac:dyDescent="0.2">
      <c r="A187" s="118">
        <v>17510</v>
      </c>
      <c r="B187" s="148">
        <v>42245</v>
      </c>
      <c r="C187" s="121">
        <v>282</v>
      </c>
      <c r="D187" s="121"/>
      <c r="E187" s="149" t="s">
        <v>441</v>
      </c>
      <c r="H187" s="118"/>
      <c r="I187" s="118"/>
      <c r="J187" s="98"/>
      <c r="K187" s="150"/>
      <c r="L187" s="126"/>
    </row>
    <row r="188" spans="1:12" x14ac:dyDescent="0.2">
      <c r="A188" s="118">
        <v>17511</v>
      </c>
      <c r="B188" s="148">
        <v>42245</v>
      </c>
      <c r="C188" s="121">
        <v>9.69</v>
      </c>
      <c r="D188" s="121">
        <v>0.74</v>
      </c>
      <c r="E188" s="152"/>
      <c r="F188" s="18"/>
      <c r="G188" s="19"/>
      <c r="H188" s="121"/>
      <c r="I188" s="118"/>
      <c r="J188" s="98"/>
      <c r="K188" s="150"/>
      <c r="L188" s="126"/>
    </row>
    <row r="189" spans="1:12" x14ac:dyDescent="0.2">
      <c r="A189" s="118">
        <v>17512</v>
      </c>
      <c r="B189" s="148">
        <v>42245</v>
      </c>
      <c r="C189" s="121">
        <v>18.329999999999998</v>
      </c>
      <c r="D189" s="121">
        <v>1.4</v>
      </c>
      <c r="E189" s="152"/>
      <c r="H189" s="121"/>
      <c r="I189" s="118"/>
      <c r="J189" s="98"/>
      <c r="K189" s="150"/>
      <c r="L189" s="126"/>
    </row>
    <row r="190" spans="1:12" x14ac:dyDescent="0.2">
      <c r="A190" s="118">
        <v>17514</v>
      </c>
      <c r="B190" s="148">
        <v>42245</v>
      </c>
      <c r="C190" s="121">
        <v>124.43</v>
      </c>
      <c r="D190" s="121">
        <v>9.48</v>
      </c>
      <c r="E190" s="152"/>
      <c r="F190" s="18"/>
      <c r="G190" s="19"/>
      <c r="H190" s="121"/>
      <c r="I190" s="118"/>
      <c r="J190" s="98"/>
      <c r="K190" s="150"/>
      <c r="L190" s="126"/>
    </row>
    <row r="191" spans="1:12" x14ac:dyDescent="0.2">
      <c r="A191" s="118">
        <v>17515</v>
      </c>
      <c r="B191" s="148">
        <v>42245</v>
      </c>
      <c r="C191" s="121">
        <v>10.83</v>
      </c>
      <c r="D191" s="121">
        <v>0.83</v>
      </c>
      <c r="E191" s="152"/>
      <c r="F191" s="18"/>
      <c r="G191" s="19"/>
      <c r="H191" s="121"/>
      <c r="I191" s="118"/>
      <c r="J191" s="98"/>
      <c r="K191" s="150"/>
      <c r="L191" s="126"/>
    </row>
    <row r="192" spans="1:12" x14ac:dyDescent="0.2">
      <c r="A192" s="118">
        <v>17516</v>
      </c>
      <c r="B192" s="148">
        <v>42245</v>
      </c>
      <c r="C192" s="121">
        <v>19.489999999999998</v>
      </c>
      <c r="D192" s="121">
        <v>1.49</v>
      </c>
      <c r="E192" s="152"/>
      <c r="F192" s="18"/>
      <c r="G192" s="19"/>
      <c r="H192" s="121"/>
      <c r="I192" s="118"/>
      <c r="J192" s="98"/>
      <c r="K192" s="150"/>
      <c r="L192" s="126"/>
    </row>
    <row r="193" spans="1:13" x14ac:dyDescent="0.2">
      <c r="A193" s="118">
        <v>17517</v>
      </c>
      <c r="B193" s="148">
        <v>42245</v>
      </c>
      <c r="C193" s="121">
        <v>94</v>
      </c>
      <c r="D193" s="121"/>
      <c r="E193" s="151" t="s">
        <v>8</v>
      </c>
      <c r="H193" s="121"/>
      <c r="I193" s="118"/>
      <c r="J193" s="98"/>
      <c r="K193" s="150"/>
      <c r="L193" s="126"/>
    </row>
    <row r="194" spans="1:13" x14ac:dyDescent="0.2">
      <c r="A194" s="118">
        <v>17518</v>
      </c>
      <c r="B194" s="148">
        <v>42245</v>
      </c>
      <c r="C194" s="121">
        <v>93.23</v>
      </c>
      <c r="D194" s="121"/>
      <c r="E194" s="152"/>
      <c r="H194" s="121"/>
      <c r="I194" s="118"/>
      <c r="J194" s="98"/>
      <c r="K194" s="150"/>
      <c r="L194" s="126"/>
    </row>
    <row r="195" spans="1:13" x14ac:dyDescent="0.2">
      <c r="A195" s="118">
        <v>17519</v>
      </c>
      <c r="B195" s="148">
        <v>42245</v>
      </c>
      <c r="C195" s="121">
        <v>27</v>
      </c>
      <c r="D195" s="121"/>
      <c r="E195" s="149" t="s">
        <v>16</v>
      </c>
      <c r="F195" s="34">
        <f>+C185+C186-0.48</f>
        <v>430.24999999999994</v>
      </c>
      <c r="G195" s="34">
        <v>428.15</v>
      </c>
      <c r="H195" s="118"/>
      <c r="I195" s="118"/>
      <c r="J195" s="98"/>
      <c r="K195" s="150"/>
      <c r="L195" s="126"/>
    </row>
    <row r="196" spans="1:13" x14ac:dyDescent="0.2">
      <c r="A196" s="118">
        <v>17520</v>
      </c>
      <c r="B196" s="148">
        <v>42247</v>
      </c>
      <c r="C196" s="121">
        <v>37.78</v>
      </c>
      <c r="D196" s="157">
        <v>2.88</v>
      </c>
      <c r="E196" s="151" t="s">
        <v>7</v>
      </c>
      <c r="H196" s="12"/>
      <c r="I196" s="10"/>
      <c r="K196" s="27"/>
    </row>
    <row r="197" spans="1:13" x14ac:dyDescent="0.2">
      <c r="A197" s="118">
        <v>17521</v>
      </c>
      <c r="B197" s="148">
        <v>42247</v>
      </c>
      <c r="C197" s="122">
        <v>42</v>
      </c>
      <c r="D197" s="122">
        <v>3.2</v>
      </c>
      <c r="E197" s="158"/>
      <c r="F197" s="98"/>
      <c r="G197" s="98"/>
      <c r="H197" s="10"/>
      <c r="M197" s="126"/>
    </row>
    <row r="198" spans="1:13" x14ac:dyDescent="0.2">
      <c r="A198" s="118">
        <v>17522</v>
      </c>
      <c r="B198" s="148">
        <v>42247</v>
      </c>
      <c r="C198" s="122">
        <v>10</v>
      </c>
      <c r="D198" s="122">
        <v>0.76</v>
      </c>
      <c r="E198" s="158" t="s">
        <v>7</v>
      </c>
      <c r="F198" s="98"/>
      <c r="G198" s="98"/>
      <c r="M198" s="126"/>
    </row>
    <row r="199" spans="1:13" x14ac:dyDescent="0.2">
      <c r="A199" s="118">
        <v>17523</v>
      </c>
      <c r="B199" s="148">
        <v>42247</v>
      </c>
      <c r="C199" s="122">
        <v>48.71</v>
      </c>
      <c r="D199" s="122">
        <v>3.71</v>
      </c>
      <c r="E199" s="158" t="s">
        <v>7</v>
      </c>
      <c r="F199" s="98"/>
      <c r="G199" s="98"/>
      <c r="M199" s="126"/>
    </row>
    <row r="200" spans="1:13" x14ac:dyDescent="0.2">
      <c r="A200" s="118">
        <v>17524</v>
      </c>
      <c r="B200" s="148">
        <v>42247</v>
      </c>
      <c r="C200" s="122">
        <v>208</v>
      </c>
      <c r="D200" s="122"/>
      <c r="E200" s="158" t="s">
        <v>281</v>
      </c>
      <c r="F200" s="98"/>
      <c r="G200" s="98"/>
      <c r="M200" s="126"/>
    </row>
    <row r="201" spans="1:13" x14ac:dyDescent="0.2">
      <c r="A201" s="118">
        <v>17525</v>
      </c>
      <c r="B201" s="148">
        <v>42247</v>
      </c>
      <c r="C201" s="122">
        <v>9.69</v>
      </c>
      <c r="D201" s="122">
        <v>0.74</v>
      </c>
      <c r="E201" s="158"/>
      <c r="F201" s="98"/>
      <c r="G201" s="98"/>
      <c r="M201" s="126"/>
    </row>
    <row r="202" spans="1:13" x14ac:dyDescent="0.2">
      <c r="A202" s="118">
        <v>17526</v>
      </c>
      <c r="B202" s="148">
        <v>42247</v>
      </c>
      <c r="C202" s="122">
        <v>89.79</v>
      </c>
      <c r="D202" s="122">
        <v>6.84</v>
      </c>
      <c r="E202" s="158" t="s">
        <v>7</v>
      </c>
      <c r="F202" s="98"/>
      <c r="G202" s="98"/>
      <c r="M202" s="126"/>
    </row>
    <row r="203" spans="1:13" x14ac:dyDescent="0.2">
      <c r="A203" s="118">
        <v>17527</v>
      </c>
      <c r="B203" s="148">
        <v>42247</v>
      </c>
      <c r="C203" s="122">
        <v>10.83</v>
      </c>
      <c r="D203" s="122">
        <v>0.83</v>
      </c>
      <c r="E203" s="158"/>
      <c r="F203" s="98"/>
      <c r="G203" s="98"/>
      <c r="M203" s="126"/>
    </row>
    <row r="204" spans="1:13" x14ac:dyDescent="0.2">
      <c r="A204" s="118">
        <v>17528</v>
      </c>
      <c r="B204" s="148">
        <v>42247</v>
      </c>
      <c r="C204" s="122">
        <v>403.77</v>
      </c>
      <c r="D204" s="122">
        <v>30.77</v>
      </c>
      <c r="E204" s="158"/>
      <c r="M204" s="126"/>
    </row>
    <row r="205" spans="1:13" x14ac:dyDescent="0.2">
      <c r="A205" s="118">
        <v>17529</v>
      </c>
      <c r="B205" s="11">
        <v>42247</v>
      </c>
      <c r="C205" s="12">
        <v>181</v>
      </c>
      <c r="D205" s="12">
        <v>13.6</v>
      </c>
      <c r="E205" s="15" t="s">
        <v>445</v>
      </c>
      <c r="F205" s="10"/>
      <c r="G205" s="10"/>
      <c r="M205" s="126"/>
    </row>
    <row r="206" spans="1:13" x14ac:dyDescent="0.2">
      <c r="A206" s="118">
        <v>17530</v>
      </c>
      <c r="B206" s="11">
        <v>42247</v>
      </c>
      <c r="C206" s="12">
        <v>81.19</v>
      </c>
      <c r="D206" s="12">
        <v>6.19</v>
      </c>
      <c r="E206" s="15" t="s">
        <v>7</v>
      </c>
      <c r="M206" s="126"/>
    </row>
    <row r="207" spans="1:13" x14ac:dyDescent="0.2">
      <c r="A207" s="118">
        <v>17531</v>
      </c>
      <c r="B207" s="11">
        <v>42247</v>
      </c>
      <c r="C207" s="12">
        <v>20</v>
      </c>
      <c r="D207" s="12"/>
      <c r="E207" s="13" t="s">
        <v>8</v>
      </c>
      <c r="F207" s="18"/>
      <c r="G207" s="19"/>
      <c r="M207" s="126"/>
    </row>
    <row r="208" spans="1:13" x14ac:dyDescent="0.2">
      <c r="A208" s="118">
        <v>17532</v>
      </c>
      <c r="B208" s="11">
        <v>42247</v>
      </c>
      <c r="C208" s="12">
        <v>85.52</v>
      </c>
      <c r="D208" s="12">
        <v>6.52</v>
      </c>
      <c r="E208" s="17"/>
      <c r="M208" s="126"/>
    </row>
    <row r="209" spans="1:13" x14ac:dyDescent="0.2">
      <c r="A209" s="118">
        <v>17533</v>
      </c>
      <c r="B209" s="11">
        <v>42247</v>
      </c>
      <c r="C209" s="12">
        <v>241.4</v>
      </c>
      <c r="D209" s="12">
        <v>18.399999999999999</v>
      </c>
      <c r="E209" s="15" t="s">
        <v>7</v>
      </c>
      <c r="F209" s="34">
        <f>+C196+C198+C199+C209+10.83+C202+C206</f>
        <v>519.70000000000005</v>
      </c>
      <c r="G209" s="34">
        <v>510.07</v>
      </c>
      <c r="M209" s="126"/>
    </row>
    <row r="210" spans="1:13" x14ac:dyDescent="0.2">
      <c r="E210" s="26"/>
      <c r="M210" s="126"/>
    </row>
    <row r="211" spans="1:13" x14ac:dyDescent="0.2">
      <c r="E211" s="26"/>
      <c r="M211" s="126"/>
    </row>
    <row r="212" spans="1:13" x14ac:dyDescent="0.2">
      <c r="E212" s="26"/>
      <c r="I212" s="5"/>
      <c r="J212" s="27"/>
      <c r="K212" s="150"/>
      <c r="M212" s="126"/>
    </row>
    <row r="213" spans="1:13" x14ac:dyDescent="0.2">
      <c r="E213" s="26"/>
      <c r="I213" s="5"/>
      <c r="J213" s="27"/>
      <c r="K213" s="150"/>
      <c r="L213" s="126"/>
      <c r="M213" s="126"/>
    </row>
    <row r="214" spans="1:13" x14ac:dyDescent="0.2">
      <c r="E214" s="26"/>
      <c r="I214" s="5"/>
      <c r="J214" s="27"/>
      <c r="K214" s="150"/>
      <c r="L214" s="126"/>
      <c r="M214" s="126"/>
    </row>
    <row r="215" spans="1:13" x14ac:dyDescent="0.2">
      <c r="E215" s="26"/>
      <c r="H215" s="12"/>
      <c r="I215" s="5"/>
      <c r="J215" s="27"/>
      <c r="K215" s="150"/>
    </row>
    <row r="216" spans="1:13" x14ac:dyDescent="0.2">
      <c r="E216" s="26"/>
      <c r="H216" s="12"/>
      <c r="I216" s="5"/>
      <c r="J216" s="27"/>
      <c r="K216" s="126"/>
    </row>
    <row r="217" spans="1:13" x14ac:dyDescent="0.2">
      <c r="E217" s="26"/>
      <c r="H217" s="10"/>
      <c r="I217" s="5"/>
      <c r="J217" s="27"/>
      <c r="K217" s="126"/>
    </row>
    <row r="218" spans="1:13" x14ac:dyDescent="0.2">
      <c r="E218" s="26"/>
      <c r="H218" s="10"/>
      <c r="I218" s="5"/>
      <c r="J218" s="27"/>
      <c r="K218" s="150"/>
    </row>
    <row r="219" spans="1:13" x14ac:dyDescent="0.2">
      <c r="E219" s="26"/>
      <c r="H219" s="12"/>
      <c r="I219" s="5"/>
      <c r="J219" s="27"/>
      <c r="K219" s="150"/>
    </row>
    <row r="220" spans="1:13" x14ac:dyDescent="0.2">
      <c r="E220" s="26"/>
      <c r="H220" s="12"/>
      <c r="I220" s="5"/>
      <c r="J220" s="27"/>
      <c r="K220" s="150"/>
    </row>
    <row r="221" spans="1:13" x14ac:dyDescent="0.2">
      <c r="E221" s="26"/>
      <c r="H221" s="10"/>
      <c r="I221" s="5"/>
      <c r="J221" s="27"/>
      <c r="K221" s="150"/>
    </row>
    <row r="222" spans="1:13" x14ac:dyDescent="0.2">
      <c r="E222" s="26"/>
      <c r="H222" s="12"/>
      <c r="I222" s="5"/>
      <c r="J222" s="27"/>
      <c r="K222" s="150"/>
    </row>
    <row r="223" spans="1:13" x14ac:dyDescent="0.2">
      <c r="E223" s="26"/>
      <c r="H223" s="12"/>
      <c r="I223" s="159"/>
      <c r="J223" s="150"/>
      <c r="K223" s="150"/>
    </row>
    <row r="224" spans="1:13" x14ac:dyDescent="0.2">
      <c r="E224" s="26"/>
      <c r="H224" s="12"/>
      <c r="I224" s="159"/>
      <c r="J224" s="150"/>
      <c r="K224" s="150"/>
    </row>
    <row r="225" spans="1:11" x14ac:dyDescent="0.2">
      <c r="E225" s="26"/>
      <c r="H225" s="12"/>
      <c r="I225" s="159"/>
      <c r="J225" s="150"/>
      <c r="K225" s="150"/>
    </row>
    <row r="226" spans="1:11" x14ac:dyDescent="0.2">
      <c r="E226" s="26"/>
      <c r="H226" s="12"/>
    </row>
    <row r="227" spans="1:11" x14ac:dyDescent="0.2">
      <c r="E227" s="26"/>
      <c r="H227" s="12"/>
    </row>
    <row r="228" spans="1:11" x14ac:dyDescent="0.2">
      <c r="E228" s="26"/>
    </row>
    <row r="229" spans="1:11" x14ac:dyDescent="0.2">
      <c r="E229" s="26"/>
    </row>
    <row r="230" spans="1:11" x14ac:dyDescent="0.2">
      <c r="E230" s="26"/>
    </row>
    <row r="231" spans="1:11" x14ac:dyDescent="0.2">
      <c r="E231" s="26"/>
    </row>
    <row r="232" spans="1:11" x14ac:dyDescent="0.2">
      <c r="E232" s="26"/>
    </row>
    <row r="233" spans="1:11" x14ac:dyDescent="0.2">
      <c r="E233" s="26"/>
    </row>
    <row r="234" spans="1:11" s="29" customFormat="1" x14ac:dyDescent="0.2">
      <c r="A234" s="4"/>
      <c r="B234" s="11"/>
      <c r="C234" s="25"/>
      <c r="D234" s="4"/>
      <c r="E234" s="26"/>
      <c r="F234" s="4"/>
      <c r="G234" s="4"/>
      <c r="H234" s="25"/>
      <c r="I234" s="4"/>
      <c r="J234" s="4"/>
    </row>
    <row r="235" spans="1:11" s="29" customFormat="1" x14ac:dyDescent="0.2">
      <c r="A235" s="4"/>
      <c r="B235" s="11"/>
      <c r="C235" s="25"/>
      <c r="D235" s="4"/>
      <c r="E235" s="26"/>
      <c r="F235" s="4"/>
      <c r="G235" s="4"/>
      <c r="H235" s="25"/>
      <c r="I235" s="4"/>
      <c r="J235" s="4"/>
    </row>
    <row r="236" spans="1:11" x14ac:dyDescent="0.2">
      <c r="A236" s="29"/>
      <c r="B236" s="30"/>
      <c r="C236" s="31"/>
      <c r="D236" s="29"/>
      <c r="E236" s="32"/>
      <c r="F236" s="29"/>
      <c r="G236" s="29"/>
      <c r="H236" s="31"/>
      <c r="I236" s="29"/>
      <c r="J236" s="29"/>
    </row>
    <row r="237" spans="1:11" x14ac:dyDescent="0.2">
      <c r="A237" s="29"/>
      <c r="B237" s="30"/>
      <c r="C237" s="31"/>
      <c r="D237" s="29"/>
      <c r="E237" s="32"/>
      <c r="F237" s="29"/>
      <c r="G237" s="29"/>
      <c r="H237" s="31"/>
      <c r="I237" s="29"/>
      <c r="J237" s="29"/>
    </row>
    <row r="238" spans="1:11" x14ac:dyDescent="0.2">
      <c r="E238" s="26"/>
    </row>
    <row r="239" spans="1:11" x14ac:dyDescent="0.2">
      <c r="E239" s="26"/>
    </row>
    <row r="240" spans="1:11" x14ac:dyDescent="0.2">
      <c r="E240" s="26"/>
    </row>
    <row r="241" spans="5:5" x14ac:dyDescent="0.2">
      <c r="E241" s="26"/>
    </row>
    <row r="242" spans="5:5" x14ac:dyDescent="0.2">
      <c r="E242" s="26"/>
    </row>
    <row r="243" spans="5:5" x14ac:dyDescent="0.2">
      <c r="E243" s="26"/>
    </row>
    <row r="244" spans="5:5" x14ac:dyDescent="0.2">
      <c r="E244" s="26"/>
    </row>
    <row r="245" spans="5:5" x14ac:dyDescent="0.2">
      <c r="E245" s="26"/>
    </row>
    <row r="246" spans="5:5" x14ac:dyDescent="0.2">
      <c r="E246" s="26"/>
    </row>
    <row r="247" spans="5:5" x14ac:dyDescent="0.2">
      <c r="E247" s="26"/>
    </row>
    <row r="248" spans="5:5" x14ac:dyDescent="0.2">
      <c r="E248" s="26"/>
    </row>
    <row r="249" spans="5:5" x14ac:dyDescent="0.2">
      <c r="E249" s="26"/>
    </row>
    <row r="250" spans="5:5" x14ac:dyDescent="0.2">
      <c r="E250" s="26"/>
    </row>
    <row r="251" spans="5:5" x14ac:dyDescent="0.2">
      <c r="E251" s="26"/>
    </row>
    <row r="252" spans="5:5" x14ac:dyDescent="0.2">
      <c r="E252" s="26"/>
    </row>
    <row r="253" spans="5:5" x14ac:dyDescent="0.2">
      <c r="E253" s="26"/>
    </row>
    <row r="254" spans="5:5" x14ac:dyDescent="0.2">
      <c r="E254" s="26"/>
    </row>
    <row r="255" spans="5:5" x14ac:dyDescent="0.2">
      <c r="E255" s="26"/>
    </row>
    <row r="256" spans="5:5" x14ac:dyDescent="0.2">
      <c r="E256" s="26"/>
    </row>
    <row r="257" spans="5:5" x14ac:dyDescent="0.2">
      <c r="E257" s="26"/>
    </row>
    <row r="258" spans="5:5" x14ac:dyDescent="0.2">
      <c r="E258" s="26"/>
    </row>
    <row r="259" spans="5:5" x14ac:dyDescent="0.2">
      <c r="E259" s="26"/>
    </row>
    <row r="260" spans="5:5" x14ac:dyDescent="0.2">
      <c r="E260" s="26"/>
    </row>
    <row r="261" spans="5:5" x14ac:dyDescent="0.2">
      <c r="E261" s="26"/>
    </row>
    <row r="262" spans="5:5" x14ac:dyDescent="0.2">
      <c r="E262" s="26"/>
    </row>
    <row r="263" spans="5:5" x14ac:dyDescent="0.2">
      <c r="E263" s="26"/>
    </row>
    <row r="264" spans="5:5" x14ac:dyDescent="0.2">
      <c r="E264" s="26"/>
    </row>
    <row r="265" spans="5:5" x14ac:dyDescent="0.2">
      <c r="E265" s="26"/>
    </row>
    <row r="266" spans="5:5" x14ac:dyDescent="0.2">
      <c r="E266" s="26"/>
    </row>
    <row r="267" spans="5:5" x14ac:dyDescent="0.2">
      <c r="E267" s="26"/>
    </row>
    <row r="268" spans="5:5" x14ac:dyDescent="0.2">
      <c r="E268" s="26"/>
    </row>
    <row r="269" spans="5:5" x14ac:dyDescent="0.2">
      <c r="E269" s="26"/>
    </row>
    <row r="270" spans="5:5" x14ac:dyDescent="0.2">
      <c r="E270" s="26"/>
    </row>
    <row r="271" spans="5:5" x14ac:dyDescent="0.2">
      <c r="E271" s="26"/>
    </row>
    <row r="272" spans="5:5" x14ac:dyDescent="0.2">
      <c r="E272" s="26"/>
    </row>
    <row r="273" spans="5:5" x14ac:dyDescent="0.2">
      <c r="E273" s="26"/>
    </row>
    <row r="274" spans="5:5" x14ac:dyDescent="0.2">
      <c r="E274" s="26"/>
    </row>
    <row r="275" spans="5:5" x14ac:dyDescent="0.2">
      <c r="E275" s="26"/>
    </row>
    <row r="276" spans="5:5" x14ac:dyDescent="0.2">
      <c r="E276" s="26"/>
    </row>
    <row r="277" spans="5:5" x14ac:dyDescent="0.2">
      <c r="E277" s="26"/>
    </row>
    <row r="278" spans="5:5" x14ac:dyDescent="0.2">
      <c r="E278" s="26"/>
    </row>
    <row r="279" spans="5:5" x14ac:dyDescent="0.2">
      <c r="E279" s="26"/>
    </row>
    <row r="280" spans="5:5" x14ac:dyDescent="0.2">
      <c r="E280" s="26"/>
    </row>
    <row r="281" spans="5:5" x14ac:dyDescent="0.2">
      <c r="E281" s="26"/>
    </row>
    <row r="282" spans="5:5" x14ac:dyDescent="0.2">
      <c r="E282" s="26"/>
    </row>
    <row r="283" spans="5:5" x14ac:dyDescent="0.2">
      <c r="E283" s="26"/>
    </row>
    <row r="284" spans="5:5" x14ac:dyDescent="0.2">
      <c r="E284" s="26"/>
    </row>
    <row r="285" spans="5:5" x14ac:dyDescent="0.2">
      <c r="E285" s="26"/>
    </row>
    <row r="286" spans="5:5" x14ac:dyDescent="0.2">
      <c r="E286" s="26"/>
    </row>
    <row r="287" spans="5:5" x14ac:dyDescent="0.2">
      <c r="E287" s="26"/>
    </row>
    <row r="288" spans="5:5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3254"/>
  <sheetViews>
    <sheetView topLeftCell="A193" workbookViewId="0">
      <selection activeCell="A238" sqref="A238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SUM(C3:C436)</f>
        <v>25794.605674999999</v>
      </c>
      <c r="D1" s="3">
        <f>SUM(D3:D436)</f>
        <v>1763.3556750000023</v>
      </c>
      <c r="F1" s="4">
        <f>SUM(F3:F238)</f>
        <v>13194.439999999999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17090</v>
      </c>
      <c r="B3" s="11">
        <v>42186</v>
      </c>
      <c r="C3" s="12">
        <v>125</v>
      </c>
      <c r="D3" s="12">
        <v>9.5299999999999994</v>
      </c>
      <c r="E3" s="13"/>
      <c r="H3" s="12"/>
    </row>
    <row r="4" spans="1:10" x14ac:dyDescent="0.2">
      <c r="A4" s="10">
        <v>17091</v>
      </c>
      <c r="B4" s="11">
        <v>42186</v>
      </c>
      <c r="C4" s="12">
        <v>144.95000000000002</v>
      </c>
      <c r="D4" s="12">
        <v>11.05</v>
      </c>
      <c r="E4" s="15" t="s">
        <v>7</v>
      </c>
      <c r="F4" s="21"/>
      <c r="G4" s="22"/>
      <c r="H4" s="10"/>
      <c r="I4" s="10"/>
    </row>
    <row r="5" spans="1:10" x14ac:dyDescent="0.2">
      <c r="A5" s="10">
        <v>17092</v>
      </c>
      <c r="B5" s="11">
        <v>42186</v>
      </c>
      <c r="C5" s="12">
        <v>210</v>
      </c>
      <c r="D5" s="12">
        <v>16</v>
      </c>
      <c r="E5" s="15"/>
      <c r="H5" s="10"/>
      <c r="I5" s="10"/>
    </row>
    <row r="6" spans="1:10" x14ac:dyDescent="0.2">
      <c r="A6" s="10">
        <v>17093</v>
      </c>
      <c r="B6" s="11">
        <v>42186</v>
      </c>
      <c r="C6" s="12">
        <v>112.58</v>
      </c>
      <c r="D6" s="12">
        <v>8.58</v>
      </c>
      <c r="E6" s="15" t="s">
        <v>11</v>
      </c>
      <c r="H6" s="10"/>
      <c r="I6" s="10"/>
    </row>
    <row r="7" spans="1:10" x14ac:dyDescent="0.2">
      <c r="A7" s="10">
        <v>17094</v>
      </c>
      <c r="B7" s="11">
        <v>42186</v>
      </c>
      <c r="C7" s="12">
        <v>36.5</v>
      </c>
      <c r="D7" s="12">
        <v>2.78</v>
      </c>
      <c r="E7" s="17"/>
      <c r="F7" s="18"/>
      <c r="G7" s="19"/>
      <c r="H7" s="12"/>
      <c r="I7" s="10"/>
    </row>
    <row r="8" spans="1:10" x14ac:dyDescent="0.2">
      <c r="A8" s="10">
        <v>17095</v>
      </c>
      <c r="B8" s="11">
        <v>42186</v>
      </c>
      <c r="C8" s="12">
        <v>33.5</v>
      </c>
      <c r="D8" s="12">
        <v>2.5499999999999998</v>
      </c>
      <c r="E8" s="15" t="s">
        <v>7</v>
      </c>
      <c r="F8" s="21"/>
      <c r="G8" s="22"/>
      <c r="H8" s="10"/>
      <c r="I8" s="10"/>
    </row>
    <row r="9" spans="1:10" x14ac:dyDescent="0.2">
      <c r="A9" s="10">
        <v>17096</v>
      </c>
      <c r="B9" s="11">
        <v>42186</v>
      </c>
      <c r="C9" s="12">
        <v>116.91</v>
      </c>
      <c r="D9" s="12">
        <v>8.91</v>
      </c>
      <c r="E9" s="13"/>
      <c r="F9" s="18"/>
      <c r="G9" s="19"/>
      <c r="H9" s="12"/>
      <c r="I9" s="10"/>
    </row>
    <row r="10" spans="1:10" x14ac:dyDescent="0.2">
      <c r="A10" s="10">
        <v>17097</v>
      </c>
      <c r="B10" s="11">
        <v>42186</v>
      </c>
      <c r="C10" s="12">
        <v>139.63999999999999</v>
      </c>
      <c r="D10" s="12">
        <v>10.64</v>
      </c>
      <c r="E10" s="15" t="s">
        <v>7</v>
      </c>
      <c r="F10" s="115"/>
      <c r="G10" s="115"/>
      <c r="H10" s="10"/>
      <c r="I10" s="10"/>
    </row>
    <row r="11" spans="1:10" x14ac:dyDescent="0.2">
      <c r="A11" s="10">
        <v>17098</v>
      </c>
      <c r="B11" s="11">
        <v>42186</v>
      </c>
      <c r="C11" s="12">
        <v>30</v>
      </c>
      <c r="D11" s="12">
        <v>2.29</v>
      </c>
      <c r="E11" s="17"/>
      <c r="F11" s="18"/>
      <c r="G11" s="19"/>
      <c r="H11" s="12"/>
      <c r="I11" s="10"/>
    </row>
    <row r="12" spans="1:10" x14ac:dyDescent="0.2">
      <c r="A12" s="10">
        <v>17099</v>
      </c>
      <c r="B12" s="11">
        <v>42186</v>
      </c>
      <c r="C12" s="12">
        <v>10.83</v>
      </c>
      <c r="D12" s="12">
        <v>0.83</v>
      </c>
      <c r="E12" s="17"/>
      <c r="H12" s="12"/>
      <c r="I12" s="10"/>
    </row>
    <row r="13" spans="1:10" x14ac:dyDescent="0.2">
      <c r="A13" s="10">
        <v>17100</v>
      </c>
      <c r="B13" s="11">
        <v>42186</v>
      </c>
      <c r="C13" s="12">
        <v>150.47</v>
      </c>
      <c r="D13" s="12">
        <v>11.47</v>
      </c>
      <c r="E13" s="15" t="s">
        <v>11</v>
      </c>
      <c r="H13" s="10"/>
      <c r="I13" s="10"/>
    </row>
    <row r="14" spans="1:10" x14ac:dyDescent="0.2">
      <c r="A14" s="10">
        <v>17101</v>
      </c>
      <c r="B14" s="11">
        <v>42186</v>
      </c>
      <c r="C14" s="12">
        <v>150.002025</v>
      </c>
      <c r="D14" s="12">
        <v>11.432024999999999</v>
      </c>
      <c r="E14" s="17"/>
      <c r="H14" s="12"/>
      <c r="I14" s="10"/>
    </row>
    <row r="15" spans="1:10" x14ac:dyDescent="0.2">
      <c r="A15" s="10">
        <v>17102</v>
      </c>
      <c r="B15" s="11">
        <v>42186</v>
      </c>
      <c r="C15" s="12">
        <v>31.39</v>
      </c>
      <c r="D15" s="12">
        <v>2.39</v>
      </c>
      <c r="E15" s="15" t="s">
        <v>21</v>
      </c>
      <c r="H15" s="10"/>
      <c r="I15" s="10"/>
    </row>
    <row r="16" spans="1:10" x14ac:dyDescent="0.2">
      <c r="A16" s="10">
        <v>17103</v>
      </c>
      <c r="B16" s="11">
        <v>42186</v>
      </c>
      <c r="C16" s="12">
        <v>9.69</v>
      </c>
      <c r="D16" s="12">
        <v>0.74</v>
      </c>
      <c r="E16" s="17"/>
      <c r="F16" s="18"/>
      <c r="G16" s="19"/>
      <c r="H16" s="12"/>
      <c r="I16" s="10"/>
    </row>
    <row r="17" spans="1:9" x14ac:dyDescent="0.2">
      <c r="A17" s="10">
        <v>17104</v>
      </c>
      <c r="B17" s="11">
        <v>42186</v>
      </c>
      <c r="C17" s="12">
        <v>25</v>
      </c>
      <c r="D17" s="12">
        <v>1.91</v>
      </c>
      <c r="E17" s="15" t="s">
        <v>11</v>
      </c>
      <c r="F17" s="34">
        <f>+C4+C6+C8+C10+C13+C17</f>
        <v>606.14</v>
      </c>
      <c r="G17" s="34">
        <v>597.59</v>
      </c>
      <c r="H17" s="10"/>
      <c r="I17" s="10"/>
    </row>
    <row r="18" spans="1:9" x14ac:dyDescent="0.2">
      <c r="A18" s="10">
        <v>17105</v>
      </c>
      <c r="B18" s="11">
        <v>42187</v>
      </c>
      <c r="C18" s="12">
        <v>196.47</v>
      </c>
      <c r="D18" s="12">
        <v>14.97</v>
      </c>
      <c r="E18" s="15" t="s">
        <v>11</v>
      </c>
      <c r="H18" s="10"/>
      <c r="I18" s="10"/>
    </row>
    <row r="19" spans="1:9" x14ac:dyDescent="0.2">
      <c r="A19" s="10">
        <v>17106</v>
      </c>
      <c r="B19" s="11">
        <v>42187</v>
      </c>
      <c r="C19" s="12">
        <v>88.77</v>
      </c>
      <c r="D19" s="12">
        <v>6.77</v>
      </c>
      <c r="E19" s="13" t="s">
        <v>406</v>
      </c>
      <c r="H19" s="12"/>
      <c r="I19" s="10"/>
    </row>
    <row r="20" spans="1:9" x14ac:dyDescent="0.2">
      <c r="A20" s="10">
        <v>17107</v>
      </c>
      <c r="B20" s="11">
        <v>42187</v>
      </c>
      <c r="C20" s="12">
        <v>54.02</v>
      </c>
      <c r="D20" s="12">
        <v>4.12</v>
      </c>
      <c r="E20" s="15" t="s">
        <v>13</v>
      </c>
      <c r="H20" s="10"/>
      <c r="I20" s="10"/>
    </row>
    <row r="21" spans="1:9" x14ac:dyDescent="0.2">
      <c r="A21" s="10">
        <v>17108</v>
      </c>
      <c r="B21" s="11">
        <v>42187</v>
      </c>
      <c r="C21" s="12">
        <v>43.03</v>
      </c>
      <c r="D21" s="12">
        <v>3.28</v>
      </c>
      <c r="E21" s="15" t="s">
        <v>11</v>
      </c>
      <c r="F21" s="34">
        <f>+C18+C20+483.88+C21</f>
        <v>777.4</v>
      </c>
      <c r="G21" s="34">
        <v>764.99</v>
      </c>
      <c r="H21" s="10"/>
      <c r="I21" s="10"/>
    </row>
    <row r="22" spans="1:9" x14ac:dyDescent="0.2">
      <c r="A22" s="10">
        <v>17109</v>
      </c>
      <c r="B22" s="11">
        <v>42188</v>
      </c>
      <c r="C22" s="12">
        <v>167</v>
      </c>
      <c r="D22" s="12"/>
      <c r="E22" s="13" t="s">
        <v>98</v>
      </c>
      <c r="F22" s="18"/>
      <c r="G22" s="19"/>
      <c r="H22" s="12"/>
      <c r="I22" s="10"/>
    </row>
    <row r="23" spans="1:9" x14ac:dyDescent="0.2">
      <c r="A23" s="10">
        <v>17110</v>
      </c>
      <c r="B23" s="11">
        <v>42188</v>
      </c>
      <c r="C23" s="12">
        <v>155</v>
      </c>
      <c r="D23" s="12"/>
      <c r="E23" s="13" t="s">
        <v>8</v>
      </c>
      <c r="F23" s="18"/>
      <c r="G23" s="19"/>
      <c r="H23" s="12"/>
      <c r="I23" s="10"/>
    </row>
    <row r="24" spans="1:9" x14ac:dyDescent="0.2">
      <c r="A24" s="10">
        <v>17111</v>
      </c>
      <c r="B24" s="11">
        <v>42188</v>
      </c>
      <c r="C24" s="12">
        <v>649.5</v>
      </c>
      <c r="D24" s="12">
        <v>49.5</v>
      </c>
      <c r="E24" s="13" t="s">
        <v>407</v>
      </c>
      <c r="H24" s="12"/>
      <c r="I24" s="10"/>
    </row>
    <row r="25" spans="1:9" x14ac:dyDescent="0.2">
      <c r="A25" s="10">
        <v>17112</v>
      </c>
      <c r="B25" s="11">
        <v>42188</v>
      </c>
      <c r="C25" s="12">
        <v>42.22</v>
      </c>
      <c r="D25" s="12">
        <v>3.22</v>
      </c>
      <c r="E25" s="17"/>
      <c r="F25" s="18"/>
      <c r="G25" s="19"/>
      <c r="H25" s="12"/>
      <c r="I25" s="10"/>
    </row>
    <row r="26" spans="1:9" x14ac:dyDescent="0.2">
      <c r="A26" s="10">
        <v>17113</v>
      </c>
      <c r="B26" s="11">
        <v>42188</v>
      </c>
      <c r="C26" s="12">
        <v>212</v>
      </c>
      <c r="D26" s="12">
        <v>16.16</v>
      </c>
      <c r="E26" s="17"/>
      <c r="F26" s="18"/>
      <c r="G26" s="19"/>
      <c r="H26" s="12"/>
      <c r="I26" s="10"/>
    </row>
    <row r="27" spans="1:9" x14ac:dyDescent="0.2">
      <c r="A27" s="10">
        <v>17114</v>
      </c>
      <c r="B27" s="11">
        <v>42188</v>
      </c>
      <c r="C27" s="12">
        <v>119.08</v>
      </c>
      <c r="D27" s="12">
        <v>9.08</v>
      </c>
      <c r="E27" s="15" t="s">
        <v>7</v>
      </c>
      <c r="F27" s="21"/>
      <c r="G27" s="22"/>
      <c r="H27" s="10"/>
      <c r="I27" s="10"/>
    </row>
    <row r="28" spans="1:9" x14ac:dyDescent="0.2">
      <c r="A28" s="10">
        <v>17115</v>
      </c>
      <c r="B28" s="11">
        <v>42188</v>
      </c>
      <c r="C28" s="12">
        <v>126.65</v>
      </c>
      <c r="D28" s="12">
        <v>9.65</v>
      </c>
      <c r="E28" s="13" t="s">
        <v>408</v>
      </c>
      <c r="H28" s="12"/>
      <c r="I28" s="10"/>
    </row>
    <row r="29" spans="1:9" x14ac:dyDescent="0.2">
      <c r="A29" s="10">
        <v>17116</v>
      </c>
      <c r="B29" s="11">
        <v>42188</v>
      </c>
      <c r="C29" s="12">
        <v>181.5</v>
      </c>
      <c r="D29" s="12">
        <v>13.83</v>
      </c>
      <c r="E29" s="17"/>
      <c r="F29" s="34">
        <f>322.2+C27+149.39+26.65</f>
        <v>617.31999999999994</v>
      </c>
      <c r="G29" s="34">
        <v>610.26</v>
      </c>
      <c r="H29" s="12"/>
      <c r="I29" s="10"/>
    </row>
    <row r="30" spans="1:9" x14ac:dyDescent="0.2">
      <c r="A30" s="10">
        <v>17117</v>
      </c>
      <c r="B30" s="11">
        <v>42191</v>
      </c>
      <c r="C30" s="12">
        <v>62.79</v>
      </c>
      <c r="D30" s="12">
        <v>4.79</v>
      </c>
      <c r="E30" s="15" t="s">
        <v>11</v>
      </c>
      <c r="H30" s="10"/>
      <c r="I30" s="10"/>
    </row>
    <row r="31" spans="1:9" x14ac:dyDescent="0.2">
      <c r="A31" s="10">
        <v>17118</v>
      </c>
      <c r="B31" s="11">
        <v>42191</v>
      </c>
      <c r="C31" s="12">
        <v>18.349999999999998</v>
      </c>
      <c r="D31" s="12">
        <v>1.4</v>
      </c>
      <c r="E31" s="17"/>
      <c r="H31" s="12"/>
      <c r="I31" s="10"/>
    </row>
    <row r="32" spans="1:9" x14ac:dyDescent="0.2">
      <c r="A32" s="10">
        <v>17119</v>
      </c>
      <c r="B32" s="11">
        <v>42191</v>
      </c>
      <c r="C32" s="12">
        <v>238.1</v>
      </c>
      <c r="D32" s="12">
        <v>18.149999999999999</v>
      </c>
      <c r="E32" s="17"/>
      <c r="H32" s="12"/>
      <c r="I32" s="10"/>
    </row>
    <row r="33" spans="1:9" x14ac:dyDescent="0.2">
      <c r="A33" s="10">
        <v>17120</v>
      </c>
      <c r="B33" s="11">
        <v>42191</v>
      </c>
      <c r="C33" s="12">
        <v>48</v>
      </c>
      <c r="D33" s="12">
        <v>3.66</v>
      </c>
      <c r="E33" s="17"/>
      <c r="H33" s="12"/>
      <c r="I33" s="10"/>
    </row>
    <row r="34" spans="1:9" x14ac:dyDescent="0.2">
      <c r="A34" s="10">
        <v>17121</v>
      </c>
      <c r="B34" s="11">
        <v>42191</v>
      </c>
      <c r="C34" s="12">
        <v>108.2</v>
      </c>
      <c r="D34" s="12">
        <v>8.25</v>
      </c>
      <c r="E34" s="15" t="s">
        <v>7</v>
      </c>
      <c r="H34" s="10"/>
      <c r="I34" s="10"/>
    </row>
    <row r="35" spans="1:9" x14ac:dyDescent="0.2">
      <c r="A35" s="10">
        <v>17122</v>
      </c>
      <c r="B35" s="11">
        <v>42191</v>
      </c>
      <c r="C35" s="12">
        <v>54.13</v>
      </c>
      <c r="D35" s="12">
        <v>4.13</v>
      </c>
      <c r="E35" s="15" t="s">
        <v>7</v>
      </c>
      <c r="F35" s="115"/>
      <c r="G35" s="115"/>
      <c r="H35" s="10"/>
      <c r="I35" s="10"/>
    </row>
    <row r="36" spans="1:9" x14ac:dyDescent="0.2">
      <c r="A36" s="10">
        <v>17123</v>
      </c>
      <c r="B36" s="11">
        <v>42191</v>
      </c>
      <c r="C36" s="12">
        <v>63.87</v>
      </c>
      <c r="D36" s="12">
        <v>4.87</v>
      </c>
      <c r="E36" s="15" t="s">
        <v>21</v>
      </c>
      <c r="F36" s="21"/>
      <c r="G36" s="22"/>
      <c r="H36" s="10"/>
      <c r="I36" s="10"/>
    </row>
    <row r="37" spans="1:9" x14ac:dyDescent="0.2">
      <c r="A37" s="10">
        <v>17124</v>
      </c>
      <c r="B37" s="11">
        <v>42191</v>
      </c>
      <c r="C37" s="12">
        <v>257.64</v>
      </c>
      <c r="D37" s="12">
        <v>19.64</v>
      </c>
      <c r="E37" s="15" t="s">
        <v>7</v>
      </c>
      <c r="F37" s="34">
        <f>+C34+C30+C35+C37</f>
        <v>482.76</v>
      </c>
      <c r="G37" s="34">
        <v>472.4</v>
      </c>
      <c r="H37" s="10"/>
      <c r="I37" s="10"/>
    </row>
    <row r="38" spans="1:9" x14ac:dyDescent="0.2">
      <c r="A38" s="10">
        <v>17125</v>
      </c>
      <c r="B38" s="11">
        <v>42192</v>
      </c>
      <c r="C38" s="12">
        <v>123.41</v>
      </c>
      <c r="D38" s="12">
        <v>9.41</v>
      </c>
      <c r="E38" s="15" t="s">
        <v>21</v>
      </c>
      <c r="H38" s="10"/>
      <c r="I38" s="10"/>
    </row>
    <row r="39" spans="1:9" x14ac:dyDescent="0.2">
      <c r="A39" s="10">
        <v>17126</v>
      </c>
      <c r="B39" s="11">
        <v>42192</v>
      </c>
      <c r="C39" s="12">
        <v>218.67</v>
      </c>
      <c r="D39" s="12">
        <v>16.670000000000002</v>
      </c>
      <c r="E39" s="15" t="s">
        <v>11</v>
      </c>
      <c r="H39" s="10"/>
      <c r="I39" s="10"/>
    </row>
    <row r="40" spans="1:9" x14ac:dyDescent="0.2">
      <c r="A40" s="10">
        <v>17127</v>
      </c>
      <c r="B40" s="11">
        <v>42192</v>
      </c>
      <c r="C40" s="12">
        <v>27.06</v>
      </c>
      <c r="D40" s="12">
        <v>2.06</v>
      </c>
      <c r="E40" s="15" t="s">
        <v>11</v>
      </c>
      <c r="F40" s="21"/>
      <c r="G40" s="22"/>
      <c r="H40" s="10"/>
      <c r="I40" s="10"/>
    </row>
    <row r="41" spans="1:9" x14ac:dyDescent="0.2">
      <c r="A41" s="10">
        <v>17128</v>
      </c>
      <c r="B41" s="11">
        <v>42192</v>
      </c>
      <c r="C41" s="12">
        <v>100.67</v>
      </c>
      <c r="D41" s="12">
        <v>7.67</v>
      </c>
      <c r="E41" s="17"/>
      <c r="H41" s="12"/>
      <c r="I41" s="10"/>
    </row>
    <row r="42" spans="1:9" x14ac:dyDescent="0.2">
      <c r="A42" s="10">
        <v>17129</v>
      </c>
      <c r="B42" s="11">
        <v>42192</v>
      </c>
      <c r="C42" s="12">
        <v>172.03999999999996</v>
      </c>
      <c r="D42" s="12">
        <v>13.11</v>
      </c>
      <c r="E42" s="15" t="s">
        <v>7</v>
      </c>
      <c r="H42" s="10"/>
      <c r="I42" s="10"/>
    </row>
    <row r="43" spans="1:9" x14ac:dyDescent="0.2">
      <c r="A43" s="10">
        <v>17130</v>
      </c>
      <c r="B43" s="11">
        <v>42192</v>
      </c>
      <c r="C43" s="12">
        <v>8.66</v>
      </c>
      <c r="D43" s="12">
        <v>0.66</v>
      </c>
      <c r="E43" s="15" t="s">
        <v>7</v>
      </c>
      <c r="H43" s="10"/>
      <c r="I43" s="10"/>
    </row>
    <row r="44" spans="1:9" x14ac:dyDescent="0.2">
      <c r="A44" s="10">
        <v>17131</v>
      </c>
      <c r="B44" s="11">
        <v>42192</v>
      </c>
      <c r="C44" s="12">
        <v>47.63</v>
      </c>
      <c r="D44" s="12">
        <v>3.63</v>
      </c>
      <c r="E44" s="15" t="s">
        <v>21</v>
      </c>
      <c r="F44" s="21"/>
      <c r="G44" s="22"/>
      <c r="H44" s="10"/>
      <c r="I44" s="10"/>
    </row>
    <row r="45" spans="1:9" x14ac:dyDescent="0.2">
      <c r="A45" s="10">
        <v>17132</v>
      </c>
      <c r="B45" s="11">
        <v>42192</v>
      </c>
      <c r="C45" s="12">
        <v>221.28000000000003</v>
      </c>
      <c r="D45" s="12"/>
      <c r="E45" s="15" t="s">
        <v>7</v>
      </c>
      <c r="H45" s="10"/>
      <c r="I45" s="10"/>
    </row>
    <row r="46" spans="1:9" x14ac:dyDescent="0.2">
      <c r="A46" s="10">
        <v>17133</v>
      </c>
      <c r="B46" s="11">
        <v>42192</v>
      </c>
      <c r="C46" s="12">
        <v>31.39</v>
      </c>
      <c r="D46" s="12">
        <v>2.39</v>
      </c>
      <c r="E46" s="17"/>
      <c r="F46" s="34">
        <f>+C40+218.67+C42+C43+C45</f>
        <v>647.71</v>
      </c>
      <c r="G46" s="34">
        <v>639.97</v>
      </c>
      <c r="H46" s="12"/>
      <c r="I46" s="10"/>
    </row>
    <row r="47" spans="1:9" x14ac:dyDescent="0.2">
      <c r="A47" s="10">
        <v>17134</v>
      </c>
      <c r="B47" s="11">
        <v>42193</v>
      </c>
      <c r="C47" s="12">
        <v>390</v>
      </c>
      <c r="D47" s="12">
        <v>29.72</v>
      </c>
      <c r="E47" s="15"/>
      <c r="H47" s="10"/>
      <c r="I47" s="10"/>
    </row>
    <row r="48" spans="1:9" x14ac:dyDescent="0.2">
      <c r="A48" s="10">
        <v>17135</v>
      </c>
      <c r="B48" s="11">
        <v>42193</v>
      </c>
      <c r="C48" s="12">
        <v>113.66</v>
      </c>
      <c r="D48" s="12">
        <v>8.66</v>
      </c>
      <c r="E48" s="17"/>
      <c r="F48" s="18"/>
      <c r="G48" s="19"/>
      <c r="H48" s="12"/>
      <c r="I48" s="10"/>
    </row>
    <row r="49" spans="1:9" x14ac:dyDescent="0.2">
      <c r="A49" s="10">
        <v>17136</v>
      </c>
      <c r="B49" s="11">
        <v>42193</v>
      </c>
      <c r="C49" s="12">
        <v>92.11999999999999</v>
      </c>
      <c r="D49" s="12">
        <v>7.02</v>
      </c>
      <c r="E49" s="15" t="s">
        <v>11</v>
      </c>
      <c r="H49" s="10"/>
      <c r="I49" s="10"/>
    </row>
    <row r="50" spans="1:9" x14ac:dyDescent="0.2">
      <c r="A50" s="10">
        <v>17137</v>
      </c>
      <c r="B50" s="11">
        <v>42193</v>
      </c>
      <c r="C50" s="12">
        <v>16.18</v>
      </c>
      <c r="D50" s="12">
        <v>1.23</v>
      </c>
      <c r="E50" s="17"/>
      <c r="H50" s="12"/>
      <c r="I50" s="10"/>
    </row>
    <row r="51" spans="1:9" x14ac:dyDescent="0.2">
      <c r="A51" s="10">
        <v>17138</v>
      </c>
      <c r="B51" s="11">
        <v>42193</v>
      </c>
      <c r="C51" s="12">
        <v>50</v>
      </c>
      <c r="D51" s="12">
        <v>3.82</v>
      </c>
      <c r="E51" s="15" t="s">
        <v>11</v>
      </c>
      <c r="F51" s="34">
        <f>+C51+C49</f>
        <v>142.12</v>
      </c>
      <c r="G51" s="34">
        <v>140.32</v>
      </c>
      <c r="H51" s="10"/>
      <c r="I51" s="10"/>
    </row>
    <row r="52" spans="1:9" x14ac:dyDescent="0.2">
      <c r="A52" s="10">
        <v>17139</v>
      </c>
      <c r="B52" s="11">
        <v>42194</v>
      </c>
      <c r="C52" s="12">
        <v>5</v>
      </c>
      <c r="D52" s="12"/>
      <c r="E52" s="15" t="s">
        <v>17</v>
      </c>
      <c r="H52" s="10"/>
      <c r="I52" s="10"/>
    </row>
    <row r="53" spans="1:9" x14ac:dyDescent="0.2">
      <c r="A53" s="10">
        <v>17140</v>
      </c>
      <c r="B53" s="11">
        <v>42194</v>
      </c>
      <c r="C53" s="12">
        <v>75.78</v>
      </c>
      <c r="D53" s="12">
        <v>5.78</v>
      </c>
      <c r="E53" s="15" t="s">
        <v>11</v>
      </c>
      <c r="H53" s="10"/>
      <c r="I53" s="10"/>
    </row>
    <row r="54" spans="1:9" x14ac:dyDescent="0.2">
      <c r="A54" s="10">
        <v>17141</v>
      </c>
      <c r="B54" s="11">
        <v>42194</v>
      </c>
      <c r="C54" s="12">
        <v>25.42</v>
      </c>
      <c r="D54" s="12">
        <v>1.94</v>
      </c>
      <c r="E54" s="15" t="s">
        <v>11</v>
      </c>
      <c r="H54" s="10"/>
      <c r="I54" s="10"/>
    </row>
    <row r="55" spans="1:9" x14ac:dyDescent="0.2">
      <c r="A55" s="10">
        <v>17142</v>
      </c>
      <c r="B55" s="11">
        <v>42194</v>
      </c>
      <c r="C55" s="12">
        <v>142.88999999999999</v>
      </c>
      <c r="D55" s="12">
        <v>10.89</v>
      </c>
      <c r="E55" s="15" t="s">
        <v>11</v>
      </c>
      <c r="H55" s="10"/>
      <c r="I55" s="10"/>
    </row>
    <row r="56" spans="1:9" x14ac:dyDescent="0.2">
      <c r="A56" s="10">
        <v>17143</v>
      </c>
      <c r="B56" s="11">
        <v>42194</v>
      </c>
      <c r="C56" s="12">
        <v>31.39</v>
      </c>
      <c r="D56" s="12">
        <v>2.39</v>
      </c>
      <c r="E56" s="15" t="s">
        <v>11</v>
      </c>
      <c r="H56" s="10"/>
      <c r="I56" s="10"/>
    </row>
    <row r="57" spans="1:9" x14ac:dyDescent="0.2">
      <c r="A57" s="10">
        <v>17144</v>
      </c>
      <c r="B57" s="11">
        <v>42194</v>
      </c>
      <c r="C57" s="12">
        <v>17.32</v>
      </c>
      <c r="D57" s="12">
        <v>1.32</v>
      </c>
      <c r="E57" s="15" t="s">
        <v>21</v>
      </c>
      <c r="H57" s="10"/>
      <c r="I57" s="10"/>
    </row>
    <row r="58" spans="1:9" x14ac:dyDescent="0.2">
      <c r="A58" s="10">
        <v>17145</v>
      </c>
      <c r="B58" s="11">
        <v>42194</v>
      </c>
      <c r="C58" s="12">
        <v>295</v>
      </c>
      <c r="D58" s="12">
        <v>22.48</v>
      </c>
      <c r="E58" s="17"/>
      <c r="H58" s="12"/>
      <c r="I58" s="10"/>
    </row>
    <row r="59" spans="1:9" x14ac:dyDescent="0.2">
      <c r="A59" s="10">
        <v>17146</v>
      </c>
      <c r="B59" s="11">
        <v>42194</v>
      </c>
      <c r="C59" s="12">
        <v>80</v>
      </c>
      <c r="D59" s="12">
        <v>6.1</v>
      </c>
      <c r="E59" s="17"/>
      <c r="F59" s="34">
        <f>+C52+C53+C54+C55+C56</f>
        <v>280.47999999999996</v>
      </c>
      <c r="G59" s="34">
        <v>277.2</v>
      </c>
      <c r="H59" s="12"/>
      <c r="I59" s="10"/>
    </row>
    <row r="60" spans="1:9" x14ac:dyDescent="0.2">
      <c r="A60" s="10">
        <v>17147</v>
      </c>
      <c r="B60" s="11">
        <v>42195</v>
      </c>
      <c r="C60" s="12">
        <v>327.02000000000004</v>
      </c>
      <c r="D60" s="12">
        <v>24.92</v>
      </c>
      <c r="E60" s="15" t="s">
        <v>11</v>
      </c>
      <c r="H60" s="10"/>
      <c r="I60" s="10"/>
    </row>
    <row r="61" spans="1:9" x14ac:dyDescent="0.2">
      <c r="A61" s="10">
        <v>17148</v>
      </c>
      <c r="B61" s="11">
        <v>42195</v>
      </c>
      <c r="C61" s="12">
        <v>11.6</v>
      </c>
      <c r="D61" s="12"/>
      <c r="E61" s="15" t="s">
        <v>409</v>
      </c>
      <c r="H61" s="10"/>
      <c r="I61" s="10"/>
    </row>
    <row r="62" spans="1:9" x14ac:dyDescent="0.2">
      <c r="A62" s="10">
        <v>17149</v>
      </c>
      <c r="B62" s="11">
        <v>42195</v>
      </c>
      <c r="C62" s="12">
        <v>5.3900000000000006</v>
      </c>
      <c r="D62" s="12">
        <v>0.41</v>
      </c>
      <c r="E62" s="17"/>
      <c r="H62" s="12"/>
      <c r="I62" s="10"/>
    </row>
    <row r="63" spans="1:9" x14ac:dyDescent="0.2">
      <c r="A63" s="10">
        <v>17150</v>
      </c>
      <c r="B63" s="11">
        <v>42195</v>
      </c>
      <c r="C63" s="12">
        <v>162.38</v>
      </c>
      <c r="D63" s="12">
        <v>12.38</v>
      </c>
      <c r="E63" s="15" t="s">
        <v>11</v>
      </c>
      <c r="H63" s="10"/>
      <c r="I63" s="10"/>
    </row>
    <row r="64" spans="1:9" x14ac:dyDescent="0.2">
      <c r="A64" s="10">
        <v>17151</v>
      </c>
      <c r="B64" s="11">
        <v>42195</v>
      </c>
      <c r="C64" s="12">
        <v>21.65</v>
      </c>
      <c r="D64" s="12">
        <v>1.65</v>
      </c>
      <c r="E64" s="17"/>
      <c r="F64" s="18"/>
      <c r="G64" s="19"/>
      <c r="H64" s="12"/>
      <c r="I64" s="10"/>
    </row>
    <row r="65" spans="1:9" x14ac:dyDescent="0.2">
      <c r="A65" s="10">
        <v>17152</v>
      </c>
      <c r="B65" s="11">
        <v>42195</v>
      </c>
      <c r="C65" s="12">
        <v>76.319999999999993</v>
      </c>
      <c r="D65" s="12">
        <v>5.82</v>
      </c>
      <c r="E65" s="15" t="s">
        <v>7</v>
      </c>
      <c r="F65" s="21"/>
      <c r="G65" s="22"/>
      <c r="H65" s="10"/>
      <c r="I65" s="10"/>
    </row>
    <row r="66" spans="1:9" x14ac:dyDescent="0.2">
      <c r="A66" s="10">
        <v>17153</v>
      </c>
      <c r="B66" s="11">
        <v>42195</v>
      </c>
      <c r="C66" s="12">
        <v>43</v>
      </c>
      <c r="D66" s="12"/>
      <c r="E66" s="13" t="s">
        <v>410</v>
      </c>
      <c r="F66" s="18"/>
      <c r="G66" s="19"/>
      <c r="H66" s="12"/>
      <c r="I66" s="10"/>
    </row>
    <row r="67" spans="1:9" x14ac:dyDescent="0.2">
      <c r="A67" s="10">
        <v>17154</v>
      </c>
      <c r="B67" s="11">
        <v>42195</v>
      </c>
      <c r="C67" s="12">
        <v>35.72</v>
      </c>
      <c r="D67" s="12">
        <v>2.72</v>
      </c>
      <c r="E67" s="15" t="s">
        <v>11</v>
      </c>
      <c r="H67" s="10"/>
      <c r="I67" s="10"/>
    </row>
    <row r="68" spans="1:9" x14ac:dyDescent="0.2">
      <c r="A68" s="10">
        <v>17155</v>
      </c>
      <c r="B68" s="11">
        <v>42195</v>
      </c>
      <c r="C68" s="12">
        <v>16.239999999999998</v>
      </c>
      <c r="D68" s="12">
        <v>1.24</v>
      </c>
      <c r="E68" s="17"/>
      <c r="F68" s="18"/>
      <c r="G68" s="19"/>
      <c r="H68" s="12"/>
      <c r="I68" s="10"/>
    </row>
    <row r="69" spans="1:9" x14ac:dyDescent="0.2">
      <c r="A69" s="10">
        <v>17156</v>
      </c>
      <c r="B69" s="11">
        <v>42195</v>
      </c>
      <c r="C69" s="12">
        <v>30.31</v>
      </c>
      <c r="D69" s="12">
        <v>2.31</v>
      </c>
      <c r="E69" s="15" t="s">
        <v>11</v>
      </c>
      <c r="F69" s="21"/>
      <c r="G69" s="22"/>
      <c r="H69" s="10"/>
      <c r="I69" s="10"/>
    </row>
    <row r="70" spans="1:9" x14ac:dyDescent="0.2">
      <c r="A70" s="10">
        <v>17157</v>
      </c>
      <c r="B70" s="11">
        <v>42195</v>
      </c>
      <c r="C70" s="12">
        <v>8</v>
      </c>
      <c r="D70" s="12"/>
      <c r="E70" s="13" t="s">
        <v>411</v>
      </c>
      <c r="H70" s="12"/>
      <c r="I70" s="10"/>
    </row>
    <row r="71" spans="1:9" x14ac:dyDescent="0.2">
      <c r="A71" s="10">
        <v>17158</v>
      </c>
      <c r="B71" s="11">
        <v>42195</v>
      </c>
      <c r="C71" s="12">
        <v>48.660000000000004</v>
      </c>
      <c r="D71" s="12">
        <v>3.71</v>
      </c>
      <c r="E71" s="17"/>
      <c r="H71" s="12"/>
      <c r="I71" s="10"/>
    </row>
    <row r="72" spans="1:9" x14ac:dyDescent="0.2">
      <c r="A72" s="10">
        <v>17159</v>
      </c>
      <c r="B72" s="11">
        <v>42195</v>
      </c>
      <c r="C72" s="12">
        <v>117.99</v>
      </c>
      <c r="D72" s="12">
        <v>8.99</v>
      </c>
      <c r="E72" s="15" t="s">
        <v>21</v>
      </c>
      <c r="H72" s="10"/>
      <c r="I72" s="10"/>
    </row>
    <row r="73" spans="1:9" x14ac:dyDescent="0.2">
      <c r="A73" s="10">
        <v>17160</v>
      </c>
      <c r="B73" s="11">
        <v>42195</v>
      </c>
      <c r="C73" s="12">
        <v>165.62</v>
      </c>
      <c r="D73" s="12">
        <v>12.62</v>
      </c>
      <c r="E73" s="15" t="s">
        <v>11</v>
      </c>
      <c r="F73" s="34">
        <f>100+C61+C44+C63+C65+C67+C69+100.37+C73+166.24</f>
        <v>896.18999999999994</v>
      </c>
      <c r="G73" s="34">
        <v>887.32</v>
      </c>
      <c r="H73" s="10"/>
      <c r="I73" s="10"/>
    </row>
    <row r="74" spans="1:9" x14ac:dyDescent="0.2">
      <c r="A74" s="10">
        <v>17161</v>
      </c>
      <c r="B74" s="11">
        <v>42196</v>
      </c>
      <c r="C74" s="12">
        <v>8.66</v>
      </c>
      <c r="D74" s="12">
        <v>0.66</v>
      </c>
      <c r="E74" s="17"/>
      <c r="H74" s="12"/>
      <c r="I74" s="10"/>
    </row>
    <row r="75" spans="1:9" x14ac:dyDescent="0.2">
      <c r="A75" s="10">
        <v>17162</v>
      </c>
      <c r="B75" s="11">
        <v>42196</v>
      </c>
      <c r="C75" s="12">
        <v>128.82</v>
      </c>
      <c r="D75" s="12">
        <v>9.82</v>
      </c>
      <c r="E75" s="15" t="s">
        <v>7</v>
      </c>
      <c r="H75" s="10"/>
      <c r="I75" s="10"/>
    </row>
    <row r="76" spans="1:9" x14ac:dyDescent="0.2">
      <c r="A76" s="10">
        <v>17163</v>
      </c>
      <c r="B76" s="11">
        <v>42196</v>
      </c>
      <c r="C76" s="12">
        <v>84.44</v>
      </c>
      <c r="D76" s="12">
        <v>6.44</v>
      </c>
      <c r="E76" s="17"/>
      <c r="F76" s="18"/>
      <c r="G76" s="19"/>
      <c r="H76" s="12"/>
      <c r="I76" s="10"/>
    </row>
    <row r="77" spans="1:9" x14ac:dyDescent="0.2">
      <c r="A77" s="10">
        <v>17164</v>
      </c>
      <c r="B77" s="11">
        <v>42196</v>
      </c>
      <c r="C77" s="12">
        <v>478</v>
      </c>
      <c r="D77" s="12">
        <v>36.43</v>
      </c>
      <c r="E77" s="15" t="s">
        <v>21</v>
      </c>
      <c r="F77" s="21"/>
      <c r="G77" s="22"/>
      <c r="H77" s="10"/>
      <c r="I77" s="10"/>
    </row>
    <row r="78" spans="1:9" x14ac:dyDescent="0.2">
      <c r="A78" s="10">
        <v>17165</v>
      </c>
      <c r="B78" s="11">
        <v>42196</v>
      </c>
      <c r="C78" s="12">
        <v>17.27</v>
      </c>
      <c r="D78" s="12">
        <v>1.32</v>
      </c>
      <c r="E78" s="17"/>
      <c r="H78" s="12"/>
      <c r="I78" s="10"/>
    </row>
    <row r="79" spans="1:9" x14ac:dyDescent="0.2">
      <c r="A79" s="10">
        <v>17166</v>
      </c>
      <c r="B79" s="11">
        <v>42196</v>
      </c>
      <c r="C79" s="12">
        <v>9.9999999999999982</v>
      </c>
      <c r="D79" s="12">
        <v>0.76</v>
      </c>
      <c r="E79" s="17"/>
      <c r="F79" s="18"/>
      <c r="G79" s="19"/>
      <c r="H79" s="12"/>
      <c r="I79" s="10"/>
    </row>
    <row r="80" spans="1:9" x14ac:dyDescent="0.2">
      <c r="A80" s="10">
        <v>17167</v>
      </c>
      <c r="B80" s="11">
        <v>42196</v>
      </c>
      <c r="C80" s="12">
        <v>5</v>
      </c>
      <c r="D80" s="12">
        <v>0.38</v>
      </c>
      <c r="E80" s="17"/>
      <c r="H80" s="12"/>
      <c r="I80" s="10"/>
    </row>
    <row r="81" spans="1:9" x14ac:dyDescent="0.2">
      <c r="A81" s="10">
        <v>17168</v>
      </c>
      <c r="B81" s="11">
        <v>42196</v>
      </c>
      <c r="C81" s="12">
        <v>3.25</v>
      </c>
      <c r="D81" s="12">
        <v>0.25</v>
      </c>
      <c r="E81" s="17"/>
      <c r="H81" s="12"/>
      <c r="I81" s="10"/>
    </row>
    <row r="82" spans="1:9" x14ac:dyDescent="0.2">
      <c r="A82" s="10">
        <v>17169</v>
      </c>
      <c r="B82" s="11">
        <v>42196</v>
      </c>
      <c r="C82" s="12">
        <v>11</v>
      </c>
      <c r="D82" s="12">
        <v>0.84</v>
      </c>
      <c r="E82" s="17"/>
      <c r="F82" s="18"/>
      <c r="G82" s="19"/>
      <c r="H82" s="12"/>
      <c r="I82" s="10"/>
    </row>
    <row r="83" spans="1:9" x14ac:dyDescent="0.2">
      <c r="A83" s="10">
        <v>17170</v>
      </c>
      <c r="B83" s="11">
        <v>42196</v>
      </c>
      <c r="C83" s="12">
        <v>138</v>
      </c>
      <c r="D83" s="12">
        <v>0</v>
      </c>
      <c r="E83" s="13" t="s">
        <v>412</v>
      </c>
      <c r="H83" s="12"/>
      <c r="I83" s="10"/>
    </row>
    <row r="84" spans="1:9" x14ac:dyDescent="0.2">
      <c r="A84" s="10">
        <v>17171</v>
      </c>
      <c r="B84" s="11">
        <v>42196</v>
      </c>
      <c r="C84" s="12">
        <v>1.62</v>
      </c>
      <c r="D84" s="12">
        <v>0.12</v>
      </c>
      <c r="E84" s="17"/>
      <c r="H84" s="12"/>
      <c r="I84" s="10"/>
    </row>
    <row r="85" spans="1:9" x14ac:dyDescent="0.2">
      <c r="A85" s="10">
        <v>17172</v>
      </c>
      <c r="B85" s="11">
        <v>42196</v>
      </c>
      <c r="C85" s="12">
        <v>64.84</v>
      </c>
      <c r="D85" s="12">
        <v>4.9400000000000004</v>
      </c>
      <c r="E85" s="15" t="s">
        <v>11</v>
      </c>
      <c r="F85" s="21"/>
      <c r="G85" s="22"/>
      <c r="H85" s="10"/>
      <c r="I85" s="10"/>
    </row>
    <row r="86" spans="1:9" x14ac:dyDescent="0.2">
      <c r="A86" s="10">
        <v>17173</v>
      </c>
      <c r="B86" s="11">
        <v>42196</v>
      </c>
      <c r="C86" s="12">
        <v>10.83</v>
      </c>
      <c r="D86" s="12">
        <v>0.83</v>
      </c>
      <c r="E86" s="15" t="s">
        <v>21</v>
      </c>
      <c r="F86" s="21"/>
      <c r="G86" s="22"/>
      <c r="H86" s="10"/>
      <c r="I86" s="10"/>
    </row>
    <row r="87" spans="1:9" x14ac:dyDescent="0.2">
      <c r="A87" s="10">
        <v>17174</v>
      </c>
      <c r="B87" s="11">
        <v>42196</v>
      </c>
      <c r="C87" s="12">
        <v>16.239999999999998</v>
      </c>
      <c r="D87" s="12">
        <v>1.24</v>
      </c>
      <c r="E87" s="17"/>
      <c r="F87" s="134">
        <f>+C75+77.25</f>
        <v>206.07</v>
      </c>
      <c r="G87" s="123">
        <f>+F87*0.97831</f>
        <v>201.6003417</v>
      </c>
      <c r="H87" s="131">
        <v>269.39</v>
      </c>
      <c r="I87" s="10"/>
    </row>
    <row r="88" spans="1:9" x14ac:dyDescent="0.2">
      <c r="A88" s="10">
        <v>17175</v>
      </c>
      <c r="B88" s="11">
        <v>42198</v>
      </c>
      <c r="C88" s="12">
        <v>70.58</v>
      </c>
      <c r="D88" s="12">
        <v>5.38</v>
      </c>
      <c r="E88" s="15" t="s">
        <v>11</v>
      </c>
      <c r="H88" s="10"/>
      <c r="I88" s="10"/>
    </row>
    <row r="89" spans="1:9" x14ac:dyDescent="0.2">
      <c r="A89" s="10">
        <v>17176</v>
      </c>
      <c r="B89" s="11">
        <v>42198</v>
      </c>
      <c r="C89" s="12">
        <v>94</v>
      </c>
      <c r="D89" s="12"/>
      <c r="E89" s="15" t="s">
        <v>10</v>
      </c>
      <c r="H89" s="10"/>
      <c r="I89" s="10"/>
    </row>
    <row r="90" spans="1:9" x14ac:dyDescent="0.2">
      <c r="A90" s="10">
        <v>17177</v>
      </c>
      <c r="B90" s="11">
        <v>42198</v>
      </c>
      <c r="C90" s="12">
        <v>407</v>
      </c>
      <c r="D90" s="12">
        <v>31.02</v>
      </c>
      <c r="E90" s="13" t="s">
        <v>413</v>
      </c>
      <c r="H90" s="12"/>
      <c r="I90" s="10"/>
    </row>
    <row r="91" spans="1:9" x14ac:dyDescent="0.2">
      <c r="A91" s="10">
        <v>17178</v>
      </c>
      <c r="B91" s="11">
        <v>42198</v>
      </c>
      <c r="C91" s="12">
        <v>34.64</v>
      </c>
      <c r="D91" s="12">
        <v>2.64</v>
      </c>
      <c r="E91" s="17"/>
      <c r="H91" s="12"/>
      <c r="I91" s="10"/>
    </row>
    <row r="92" spans="1:9" x14ac:dyDescent="0.2">
      <c r="A92" s="10">
        <v>17179</v>
      </c>
      <c r="B92" s="11">
        <v>42198</v>
      </c>
      <c r="C92" s="12">
        <v>106</v>
      </c>
      <c r="D92" s="12"/>
      <c r="E92" s="17"/>
      <c r="H92" s="12"/>
      <c r="I92" s="10"/>
    </row>
    <row r="93" spans="1:9" x14ac:dyDescent="0.2">
      <c r="A93" s="10">
        <v>17180</v>
      </c>
      <c r="B93" s="11">
        <v>42198</v>
      </c>
      <c r="C93" s="12">
        <v>769.13</v>
      </c>
      <c r="D93" s="12">
        <v>58.62</v>
      </c>
      <c r="E93" s="15" t="s">
        <v>13</v>
      </c>
      <c r="F93" s="34">
        <f>+C88+C93</f>
        <v>839.71</v>
      </c>
      <c r="G93" s="34">
        <v>823.11</v>
      </c>
      <c r="H93" s="10"/>
      <c r="I93" s="10"/>
    </row>
    <row r="94" spans="1:9" x14ac:dyDescent="0.2">
      <c r="A94" s="10">
        <v>17181</v>
      </c>
      <c r="B94" s="11">
        <v>42199</v>
      </c>
      <c r="C94" s="12">
        <v>16.18</v>
      </c>
      <c r="D94" s="12">
        <v>1.23</v>
      </c>
      <c r="E94" s="135" t="s">
        <v>13</v>
      </c>
      <c r="F94" s="21"/>
      <c r="G94" s="22"/>
      <c r="H94" s="10"/>
      <c r="I94" s="10"/>
    </row>
    <row r="95" spans="1:9" x14ac:dyDescent="0.2">
      <c r="A95" s="10">
        <v>17182</v>
      </c>
      <c r="B95" s="11">
        <v>42199</v>
      </c>
      <c r="C95" s="12">
        <v>187.27</v>
      </c>
      <c r="D95" s="12">
        <v>14.27</v>
      </c>
      <c r="E95" s="136" t="s">
        <v>23</v>
      </c>
      <c r="F95" s="21"/>
      <c r="G95" s="22"/>
      <c r="H95" s="10"/>
      <c r="I95" s="10"/>
    </row>
    <row r="96" spans="1:9" x14ac:dyDescent="0.2">
      <c r="A96" s="10">
        <v>17183</v>
      </c>
      <c r="B96" s="11">
        <v>42199</v>
      </c>
      <c r="C96" s="12">
        <v>26</v>
      </c>
      <c r="D96" s="12">
        <v>1.98</v>
      </c>
      <c r="E96" s="137"/>
      <c r="F96" s="18"/>
      <c r="G96" s="19"/>
      <c r="H96" s="12"/>
      <c r="I96" s="10"/>
    </row>
    <row r="97" spans="1:12" x14ac:dyDescent="0.2">
      <c r="A97" s="10">
        <v>17184</v>
      </c>
      <c r="B97" s="11">
        <v>42199</v>
      </c>
      <c r="C97" s="12">
        <v>10.83</v>
      </c>
      <c r="D97" s="12">
        <v>0.83</v>
      </c>
      <c r="E97" s="137"/>
      <c r="F97" s="18"/>
      <c r="G97" s="19"/>
      <c r="H97" s="12"/>
      <c r="I97" s="10"/>
    </row>
    <row r="98" spans="1:12" x14ac:dyDescent="0.2">
      <c r="A98" s="10">
        <v>17185</v>
      </c>
      <c r="B98" s="11">
        <v>42199</v>
      </c>
      <c r="C98" s="12">
        <v>399.44</v>
      </c>
      <c r="D98" s="12">
        <v>30.44</v>
      </c>
      <c r="E98" s="136" t="s">
        <v>11</v>
      </c>
      <c r="F98" s="21"/>
      <c r="G98" s="22"/>
      <c r="H98" s="118"/>
      <c r="I98" s="118"/>
      <c r="J98" s="98"/>
      <c r="K98" s="98"/>
    </row>
    <row r="99" spans="1:12" x14ac:dyDescent="0.2">
      <c r="A99" s="10">
        <v>17186</v>
      </c>
      <c r="B99" s="11">
        <v>42199</v>
      </c>
      <c r="C99" s="12">
        <v>74.69</v>
      </c>
      <c r="D99" s="12">
        <v>5.69</v>
      </c>
      <c r="E99" s="136" t="s">
        <v>11</v>
      </c>
      <c r="F99" s="21"/>
      <c r="G99" s="22"/>
      <c r="H99" s="118"/>
      <c r="I99" s="118"/>
      <c r="J99" s="98"/>
      <c r="K99" s="98"/>
    </row>
    <row r="100" spans="1:12" x14ac:dyDescent="0.2">
      <c r="A100" s="10">
        <v>17187</v>
      </c>
      <c r="B100" s="11">
        <v>42199</v>
      </c>
      <c r="C100" s="12">
        <v>440.36</v>
      </c>
      <c r="D100" s="12">
        <v>33.56</v>
      </c>
      <c r="E100" s="138"/>
      <c r="F100" s="134">
        <f>+C94+C95+C98+C99</f>
        <v>677.57999999999993</v>
      </c>
      <c r="G100" s="123">
        <f>+F100*0.97831</f>
        <v>662.88328979999994</v>
      </c>
      <c r="H100" s="131">
        <v>600.5</v>
      </c>
      <c r="I100" s="118"/>
      <c r="J100" s="98"/>
      <c r="K100" s="98"/>
    </row>
    <row r="101" spans="1:12" x14ac:dyDescent="0.2">
      <c r="A101" s="10">
        <v>17188</v>
      </c>
      <c r="B101" s="11">
        <v>42200</v>
      </c>
      <c r="C101" s="12">
        <v>145.6</v>
      </c>
      <c r="D101" s="12">
        <v>11.1</v>
      </c>
      <c r="E101" s="137"/>
      <c r="F101" s="12"/>
      <c r="G101" s="12"/>
      <c r="H101" s="121"/>
      <c r="I101" s="98"/>
      <c r="J101" s="98"/>
      <c r="K101" s="120"/>
      <c r="L101" s="98"/>
    </row>
    <row r="102" spans="1:12" x14ac:dyDescent="0.2">
      <c r="A102" s="10">
        <v>17189</v>
      </c>
      <c r="B102" s="11">
        <v>42200</v>
      </c>
      <c r="C102" s="12">
        <v>60.62</v>
      </c>
      <c r="D102" s="12">
        <v>4.62</v>
      </c>
      <c r="E102" s="137"/>
      <c r="F102" s="12"/>
      <c r="G102" s="12"/>
      <c r="H102" s="121"/>
      <c r="I102" s="98"/>
      <c r="J102" s="98"/>
      <c r="K102" s="120"/>
      <c r="L102" s="98"/>
    </row>
    <row r="103" spans="1:12" x14ac:dyDescent="0.2">
      <c r="A103" s="10">
        <v>17190</v>
      </c>
      <c r="B103" s="11">
        <v>42200</v>
      </c>
      <c r="C103" s="12">
        <v>42.160000000000004</v>
      </c>
      <c r="D103" s="12">
        <v>3.21</v>
      </c>
      <c r="E103" s="137"/>
      <c r="F103" s="12"/>
      <c r="G103" s="12"/>
      <c r="H103" s="121"/>
      <c r="I103" s="98"/>
      <c r="J103" s="98"/>
      <c r="K103" s="120"/>
      <c r="L103" s="98"/>
    </row>
    <row r="104" spans="1:12" x14ac:dyDescent="0.2">
      <c r="A104" s="10">
        <v>17191</v>
      </c>
      <c r="B104" s="11">
        <v>42200</v>
      </c>
      <c r="C104" s="12">
        <v>0</v>
      </c>
      <c r="D104" s="12">
        <v>0</v>
      </c>
      <c r="E104" s="136" t="s">
        <v>414</v>
      </c>
      <c r="F104" s="10"/>
      <c r="G104" s="10"/>
      <c r="H104" s="118"/>
      <c r="I104" s="118"/>
      <c r="J104" s="98"/>
      <c r="K104" s="120"/>
      <c r="L104" s="98"/>
    </row>
    <row r="105" spans="1:12" x14ac:dyDescent="0.2">
      <c r="A105" s="10">
        <v>17192</v>
      </c>
      <c r="B105" s="11">
        <v>42200</v>
      </c>
      <c r="C105" s="12">
        <v>254.66</v>
      </c>
      <c r="D105" s="12">
        <v>19.41</v>
      </c>
      <c r="E105" s="136" t="s">
        <v>11</v>
      </c>
      <c r="F105" s="10"/>
      <c r="G105" s="10"/>
      <c r="H105" s="118"/>
      <c r="I105" s="118"/>
      <c r="J105" s="98"/>
      <c r="K105" s="120"/>
      <c r="L105" s="98"/>
    </row>
    <row r="106" spans="1:12" x14ac:dyDescent="0.2">
      <c r="A106" s="10">
        <v>17193</v>
      </c>
      <c r="B106" s="11">
        <v>42200</v>
      </c>
      <c r="C106" s="12">
        <v>10.77</v>
      </c>
      <c r="D106" s="12">
        <v>0.82</v>
      </c>
      <c r="E106" s="137"/>
      <c r="F106" s="12"/>
      <c r="G106" s="12"/>
      <c r="H106" s="121"/>
      <c r="I106" s="118"/>
      <c r="J106" s="98"/>
      <c r="K106" s="120"/>
      <c r="L106" s="98"/>
    </row>
    <row r="107" spans="1:12" x14ac:dyDescent="0.2">
      <c r="A107" s="10">
        <v>17194</v>
      </c>
      <c r="B107" s="11">
        <v>42200</v>
      </c>
      <c r="C107" s="12">
        <v>99.97</v>
      </c>
      <c r="D107" s="12">
        <v>7.62</v>
      </c>
      <c r="E107" s="137"/>
      <c r="F107" s="34">
        <f>+C105</f>
        <v>254.66</v>
      </c>
      <c r="G107" s="34">
        <v>253.47</v>
      </c>
      <c r="H107" s="121"/>
      <c r="I107" s="118"/>
      <c r="J107" s="98"/>
      <c r="K107" s="120"/>
      <c r="L107" s="98"/>
    </row>
    <row r="108" spans="1:12" x14ac:dyDescent="0.2">
      <c r="A108" s="10">
        <v>17195</v>
      </c>
      <c r="B108" s="11">
        <v>42201</v>
      </c>
      <c r="C108" s="12">
        <v>7.58</v>
      </c>
      <c r="D108" s="12">
        <v>0.57999999999999996</v>
      </c>
      <c r="E108" s="137"/>
      <c r="F108" s="12"/>
      <c r="G108" s="12"/>
      <c r="H108" s="121"/>
      <c r="I108" s="118"/>
      <c r="J108" s="98"/>
      <c r="K108" s="120"/>
      <c r="L108" s="98"/>
    </row>
    <row r="109" spans="1:12" x14ac:dyDescent="0.2">
      <c r="A109" s="10">
        <v>17196</v>
      </c>
      <c r="B109" s="11">
        <v>42201</v>
      </c>
      <c r="C109" s="12">
        <v>253.85</v>
      </c>
      <c r="D109" s="12">
        <v>19.350000000000001</v>
      </c>
      <c r="E109" s="136" t="s">
        <v>415</v>
      </c>
      <c r="F109" s="10"/>
      <c r="G109" s="10"/>
      <c r="H109" s="118"/>
      <c r="I109" s="118"/>
      <c r="J109" s="98"/>
      <c r="K109" s="120"/>
      <c r="L109" s="98"/>
    </row>
    <row r="110" spans="1:12" x14ac:dyDescent="0.2">
      <c r="A110" s="10">
        <v>17197</v>
      </c>
      <c r="B110" s="11">
        <v>42201</v>
      </c>
      <c r="C110" s="12">
        <v>10.83</v>
      </c>
      <c r="D110" s="12">
        <v>0.83</v>
      </c>
      <c r="E110" s="136" t="s">
        <v>11</v>
      </c>
      <c r="F110" s="10"/>
      <c r="G110" s="10"/>
      <c r="H110" s="118"/>
      <c r="I110" s="118"/>
      <c r="J110" s="98"/>
      <c r="K110" s="120"/>
      <c r="L110" s="98"/>
    </row>
    <row r="111" spans="1:12" x14ac:dyDescent="0.2">
      <c r="A111" s="10">
        <v>17198</v>
      </c>
      <c r="B111" s="11">
        <v>42201</v>
      </c>
      <c r="C111" s="12">
        <v>43.239999999999995</v>
      </c>
      <c r="D111" s="12">
        <v>3.3</v>
      </c>
      <c r="E111" s="137"/>
      <c r="F111" s="12"/>
      <c r="G111" s="12"/>
      <c r="I111" s="118"/>
      <c r="J111" s="98"/>
      <c r="K111" s="120"/>
      <c r="L111" s="98"/>
    </row>
    <row r="112" spans="1:12" x14ac:dyDescent="0.2">
      <c r="A112" s="10">
        <v>17199</v>
      </c>
      <c r="B112" s="11">
        <v>42201</v>
      </c>
      <c r="C112" s="12">
        <v>43.7</v>
      </c>
      <c r="D112" s="12">
        <v>3.33</v>
      </c>
      <c r="E112" s="137"/>
      <c r="F112" s="12"/>
      <c r="G112" s="12"/>
      <c r="H112" s="121"/>
      <c r="I112" s="118"/>
      <c r="J112" s="98"/>
      <c r="K112" s="120"/>
      <c r="L112" s="98"/>
    </row>
    <row r="113" spans="1:12" x14ac:dyDescent="0.2">
      <c r="A113" s="10">
        <v>17200</v>
      </c>
      <c r="B113" s="11">
        <v>42201</v>
      </c>
      <c r="C113" s="12">
        <v>232.74</v>
      </c>
      <c r="D113" s="12">
        <v>17.739999999999998</v>
      </c>
      <c r="E113" s="137"/>
      <c r="F113" s="12"/>
      <c r="G113" s="12"/>
      <c r="H113" s="121"/>
      <c r="I113" s="118"/>
      <c r="J113" s="98"/>
      <c r="K113" s="120"/>
      <c r="L113" s="98"/>
    </row>
    <row r="114" spans="1:12" x14ac:dyDescent="0.2">
      <c r="A114" s="10">
        <v>17201</v>
      </c>
      <c r="B114" s="11">
        <v>42201</v>
      </c>
      <c r="C114" s="12">
        <v>15.05</v>
      </c>
      <c r="D114" s="12">
        <v>1.1499999999999999</v>
      </c>
      <c r="E114" s="136" t="s">
        <v>23</v>
      </c>
      <c r="F114" s="10"/>
      <c r="G114" s="10"/>
      <c r="H114" s="118"/>
      <c r="I114" s="118"/>
      <c r="J114" s="98"/>
      <c r="K114" s="120"/>
      <c r="L114" s="98"/>
    </row>
    <row r="115" spans="1:12" x14ac:dyDescent="0.2">
      <c r="A115" s="10">
        <v>17202</v>
      </c>
      <c r="B115" s="11">
        <v>42201</v>
      </c>
      <c r="C115" s="12">
        <v>37.89</v>
      </c>
      <c r="D115" s="12">
        <v>2.89</v>
      </c>
      <c r="E115" s="136" t="s">
        <v>11</v>
      </c>
      <c r="F115" s="134">
        <f>+C110+C114+C115</f>
        <v>63.77</v>
      </c>
      <c r="G115" s="123">
        <f>+F115*0.97831</f>
        <v>62.386828700000002</v>
      </c>
      <c r="H115" s="131">
        <v>284.39</v>
      </c>
      <c r="I115" s="118"/>
      <c r="J115" s="98"/>
      <c r="K115" s="120"/>
      <c r="L115" s="98"/>
    </row>
    <row r="116" spans="1:12" x14ac:dyDescent="0.2">
      <c r="A116" s="10">
        <v>17203</v>
      </c>
      <c r="B116" s="11">
        <v>42202</v>
      </c>
      <c r="C116" s="12">
        <v>11.85</v>
      </c>
      <c r="D116" s="12">
        <v>0.9</v>
      </c>
      <c r="E116" s="136" t="s">
        <v>11</v>
      </c>
      <c r="F116" s="10"/>
      <c r="G116" s="10"/>
      <c r="H116" s="118"/>
      <c r="I116" s="118"/>
      <c r="J116" s="98"/>
      <c r="K116" s="120"/>
      <c r="L116" s="98"/>
    </row>
    <row r="117" spans="1:12" x14ac:dyDescent="0.2">
      <c r="A117" s="10">
        <v>17204</v>
      </c>
      <c r="B117" s="11">
        <v>42202</v>
      </c>
      <c r="C117" s="12">
        <v>32.42</v>
      </c>
      <c r="D117" s="12">
        <v>2.4700000000000002</v>
      </c>
      <c r="E117" s="137"/>
      <c r="F117" s="12"/>
      <c r="G117" s="12"/>
      <c r="H117" s="121"/>
      <c r="I117" s="118"/>
      <c r="J117" s="98"/>
      <c r="K117" s="120"/>
      <c r="L117" s="98"/>
    </row>
    <row r="118" spans="1:12" x14ac:dyDescent="0.2">
      <c r="A118" s="10">
        <v>17205</v>
      </c>
      <c r="B118" s="11">
        <v>42202</v>
      </c>
      <c r="C118" s="12">
        <v>21.639999999999997</v>
      </c>
      <c r="D118" s="12">
        <v>1.65</v>
      </c>
      <c r="E118" s="137"/>
      <c r="F118" s="12"/>
      <c r="G118" s="12"/>
      <c r="H118" s="121"/>
      <c r="I118" s="118"/>
      <c r="J118" s="98"/>
      <c r="K118" s="120"/>
      <c r="L118" s="98"/>
    </row>
    <row r="119" spans="1:12" x14ac:dyDescent="0.2">
      <c r="A119" s="10">
        <v>17206</v>
      </c>
      <c r="B119" s="11">
        <v>42202</v>
      </c>
      <c r="C119" s="12">
        <v>224.62</v>
      </c>
      <c r="D119" s="12">
        <v>17.12</v>
      </c>
      <c r="E119" s="137"/>
      <c r="F119" s="12"/>
      <c r="G119" s="12"/>
      <c r="H119" s="121"/>
      <c r="I119" s="118"/>
      <c r="J119" s="98"/>
      <c r="K119" s="120"/>
      <c r="L119" s="98"/>
    </row>
    <row r="120" spans="1:12" x14ac:dyDescent="0.2">
      <c r="A120" s="10">
        <v>17207</v>
      </c>
      <c r="B120" s="11">
        <v>42202</v>
      </c>
      <c r="C120" s="12">
        <v>516.89</v>
      </c>
      <c r="D120" s="12">
        <v>39.39</v>
      </c>
      <c r="E120" s="136" t="s">
        <v>11</v>
      </c>
      <c r="F120" s="10"/>
      <c r="G120" s="10"/>
      <c r="H120" s="118"/>
      <c r="I120" s="118"/>
      <c r="J120" s="98"/>
      <c r="K120" s="120"/>
      <c r="L120" s="98"/>
    </row>
    <row r="121" spans="1:12" x14ac:dyDescent="0.2">
      <c r="A121" s="10">
        <v>17208</v>
      </c>
      <c r="B121" s="11">
        <v>42202</v>
      </c>
      <c r="C121" s="12">
        <v>10</v>
      </c>
      <c r="D121" s="12">
        <v>0.76</v>
      </c>
      <c r="E121" s="137"/>
      <c r="F121" s="12"/>
      <c r="G121" s="12"/>
      <c r="H121" s="121"/>
      <c r="I121" s="118"/>
      <c r="J121" s="98"/>
      <c r="K121" s="120"/>
      <c r="L121" s="98"/>
    </row>
    <row r="122" spans="1:12" x14ac:dyDescent="0.2">
      <c r="A122" s="10">
        <v>17209</v>
      </c>
      <c r="B122" s="11">
        <v>42202</v>
      </c>
      <c r="C122" s="12">
        <v>75.78</v>
      </c>
      <c r="D122" s="12">
        <v>5.78</v>
      </c>
      <c r="E122" s="136" t="s">
        <v>11</v>
      </c>
      <c r="F122" s="10"/>
      <c r="G122" s="10"/>
      <c r="H122" s="118"/>
      <c r="I122" s="118"/>
      <c r="J122" s="98"/>
      <c r="K122" s="120"/>
      <c r="L122" s="98"/>
    </row>
    <row r="123" spans="1:12" x14ac:dyDescent="0.2">
      <c r="A123" s="10">
        <v>17210</v>
      </c>
      <c r="B123" s="11">
        <v>42202</v>
      </c>
      <c r="C123" s="12">
        <v>29.23</v>
      </c>
      <c r="D123" s="12">
        <v>2.23</v>
      </c>
      <c r="E123" s="136" t="s">
        <v>11</v>
      </c>
      <c r="F123" s="10"/>
      <c r="G123" s="10"/>
      <c r="H123" s="118"/>
      <c r="I123" s="118"/>
      <c r="J123" s="98"/>
      <c r="K123" s="120"/>
      <c r="L123" s="98"/>
    </row>
    <row r="124" spans="1:12" x14ac:dyDescent="0.2">
      <c r="A124" s="10">
        <v>17211</v>
      </c>
      <c r="B124" s="11">
        <v>42202</v>
      </c>
      <c r="C124" s="12"/>
      <c r="D124" s="12"/>
      <c r="E124" s="136" t="s">
        <v>416</v>
      </c>
      <c r="F124" s="10"/>
      <c r="G124" s="10"/>
      <c r="H124" s="118"/>
      <c r="I124" s="118"/>
      <c r="J124" s="98"/>
      <c r="K124" s="120"/>
      <c r="L124" s="98"/>
    </row>
    <row r="125" spans="1:12" x14ac:dyDescent="0.2">
      <c r="A125" s="10">
        <v>17212</v>
      </c>
      <c r="B125" s="11">
        <v>42202</v>
      </c>
      <c r="C125" s="12">
        <v>64.84</v>
      </c>
      <c r="D125" s="12">
        <v>4.9400000000000004</v>
      </c>
      <c r="E125" s="137"/>
      <c r="F125" s="12"/>
      <c r="G125" s="12"/>
      <c r="H125" s="121"/>
      <c r="I125" s="118"/>
      <c r="J125" s="98"/>
      <c r="K125" s="120"/>
      <c r="L125" s="98"/>
    </row>
    <row r="126" spans="1:12" x14ac:dyDescent="0.2">
      <c r="A126" s="10">
        <v>17213</v>
      </c>
      <c r="B126" s="11">
        <v>42202</v>
      </c>
      <c r="C126" s="12">
        <v>172.12</v>
      </c>
      <c r="D126" s="12">
        <v>13.12</v>
      </c>
      <c r="E126" s="137"/>
      <c r="F126" s="12"/>
      <c r="G126" s="12"/>
      <c r="H126" s="121"/>
      <c r="I126" s="118"/>
      <c r="J126" s="98"/>
      <c r="K126" s="120"/>
      <c r="L126" s="98"/>
    </row>
    <row r="127" spans="1:12" x14ac:dyDescent="0.2">
      <c r="A127" s="10">
        <v>17214</v>
      </c>
      <c r="B127" s="11">
        <v>42202</v>
      </c>
      <c r="C127" s="12">
        <v>113.66</v>
      </c>
      <c r="D127" s="12">
        <v>8.66</v>
      </c>
      <c r="E127" s="136" t="s">
        <v>11</v>
      </c>
      <c r="F127" s="134">
        <f>+C116+C120+C122+C123+C124</f>
        <v>633.75</v>
      </c>
      <c r="G127" s="123">
        <f>+F127*0.97831</f>
        <v>620.00396250000006</v>
      </c>
      <c r="H127" s="139">
        <v>753.74</v>
      </c>
      <c r="I127" s="118"/>
      <c r="J127" s="98"/>
      <c r="K127" s="120"/>
      <c r="L127" s="98"/>
    </row>
    <row r="128" spans="1:12" x14ac:dyDescent="0.2">
      <c r="A128" s="10">
        <v>17215</v>
      </c>
      <c r="B128" s="11">
        <v>42203</v>
      </c>
      <c r="C128" s="12">
        <v>64.84</v>
      </c>
      <c r="D128" s="12">
        <v>4.9400000000000004</v>
      </c>
      <c r="E128" s="15" t="s">
        <v>11</v>
      </c>
      <c r="F128" s="21"/>
      <c r="G128" s="22"/>
      <c r="H128" s="118"/>
      <c r="I128" s="118"/>
      <c r="J128" s="98"/>
      <c r="K128" s="120"/>
      <c r="L128" s="98"/>
    </row>
    <row r="129" spans="1:12" x14ac:dyDescent="0.2">
      <c r="A129" s="10">
        <v>17216</v>
      </c>
      <c r="B129" s="11">
        <v>42203</v>
      </c>
      <c r="C129" s="12">
        <v>78</v>
      </c>
      <c r="D129" s="12"/>
      <c r="E129" s="13"/>
      <c r="F129" s="18"/>
      <c r="G129" s="19"/>
      <c r="H129" s="121"/>
      <c r="I129" s="118"/>
      <c r="J129" s="98"/>
      <c r="K129" s="120"/>
      <c r="L129" s="98"/>
    </row>
    <row r="130" spans="1:12" x14ac:dyDescent="0.2">
      <c r="A130" s="10">
        <v>17217</v>
      </c>
      <c r="B130" s="11">
        <v>42203</v>
      </c>
      <c r="C130" s="12">
        <v>303.10000000000002</v>
      </c>
      <c r="D130" s="12">
        <v>23.1</v>
      </c>
      <c r="E130" s="15" t="s">
        <v>11</v>
      </c>
      <c r="F130" s="21"/>
      <c r="G130" s="22"/>
      <c r="H130" s="118"/>
      <c r="I130" s="118"/>
      <c r="J130" s="98"/>
      <c r="K130" s="120"/>
      <c r="L130" s="98"/>
    </row>
    <row r="131" spans="1:12" x14ac:dyDescent="0.2">
      <c r="A131" s="10">
        <v>17218</v>
      </c>
      <c r="B131" s="11">
        <v>42203</v>
      </c>
      <c r="C131" s="12">
        <v>296.06</v>
      </c>
      <c r="D131" s="12">
        <v>22.56</v>
      </c>
      <c r="E131" s="15" t="s">
        <v>21</v>
      </c>
      <c r="H131" s="118"/>
      <c r="I131" s="118"/>
      <c r="J131" s="98"/>
      <c r="K131" s="120"/>
      <c r="L131" s="98"/>
    </row>
    <row r="132" spans="1:12" x14ac:dyDescent="0.2">
      <c r="A132" s="10">
        <v>17219</v>
      </c>
      <c r="B132" s="11">
        <v>42203</v>
      </c>
      <c r="C132" s="12">
        <v>12.99</v>
      </c>
      <c r="D132" s="12">
        <v>0.99</v>
      </c>
      <c r="E132" s="17"/>
      <c r="F132" s="18"/>
      <c r="G132" s="19"/>
      <c r="H132" s="121"/>
      <c r="I132" s="118"/>
      <c r="J132" s="98"/>
      <c r="K132" s="120"/>
      <c r="L132" s="98"/>
    </row>
    <row r="133" spans="1:12" x14ac:dyDescent="0.2">
      <c r="A133" s="10">
        <v>17220</v>
      </c>
      <c r="B133" s="11">
        <v>42203</v>
      </c>
      <c r="C133" s="12">
        <v>41.14</v>
      </c>
      <c r="D133" s="12">
        <v>3.14</v>
      </c>
      <c r="E133" s="15" t="s">
        <v>11</v>
      </c>
      <c r="H133" s="118"/>
      <c r="I133" s="118"/>
      <c r="J133" s="98"/>
      <c r="K133" s="120"/>
      <c r="L133" s="98"/>
    </row>
    <row r="134" spans="1:12" x14ac:dyDescent="0.2">
      <c r="A134" s="10">
        <v>17221</v>
      </c>
      <c r="B134" s="11">
        <v>42203</v>
      </c>
      <c r="C134" s="12">
        <v>200</v>
      </c>
      <c r="D134" s="12"/>
      <c r="E134" s="15" t="s">
        <v>11</v>
      </c>
      <c r="H134" s="118"/>
      <c r="I134" s="118"/>
      <c r="J134" s="98"/>
      <c r="K134" s="120"/>
      <c r="L134" s="98"/>
    </row>
    <row r="135" spans="1:12" x14ac:dyDescent="0.2">
      <c r="A135" s="10">
        <v>17222</v>
      </c>
      <c r="B135" s="11">
        <v>42203</v>
      </c>
      <c r="C135" s="12">
        <v>33.56</v>
      </c>
      <c r="D135" s="12">
        <v>2.56</v>
      </c>
      <c r="E135" s="15" t="s">
        <v>7</v>
      </c>
      <c r="F135" s="21"/>
      <c r="G135" s="22"/>
      <c r="H135" s="118"/>
      <c r="I135" s="118"/>
      <c r="J135" s="98"/>
      <c r="K135" s="120"/>
      <c r="L135" s="98"/>
    </row>
    <row r="136" spans="1:12" x14ac:dyDescent="0.2">
      <c r="A136" s="10">
        <v>17223</v>
      </c>
      <c r="B136" s="11">
        <v>42203</v>
      </c>
      <c r="C136" s="12">
        <v>42</v>
      </c>
      <c r="D136" s="12">
        <v>3.2</v>
      </c>
      <c r="E136" s="17"/>
      <c r="F136" s="34">
        <f>+C128+C130+C133+C134+C135</f>
        <v>642.6400000000001</v>
      </c>
      <c r="G136" s="34">
        <v>631.14</v>
      </c>
      <c r="H136" s="121"/>
      <c r="I136" s="118"/>
      <c r="J136" s="98"/>
      <c r="K136" s="120"/>
      <c r="L136" s="98"/>
    </row>
    <row r="137" spans="1:12" x14ac:dyDescent="0.2">
      <c r="A137" s="10">
        <v>17224</v>
      </c>
      <c r="B137" s="11">
        <v>42205</v>
      </c>
      <c r="C137" s="12">
        <v>130</v>
      </c>
      <c r="D137" s="12">
        <v>9.91</v>
      </c>
      <c r="E137" s="15" t="s">
        <v>7</v>
      </c>
      <c r="H137" s="118"/>
      <c r="I137" s="118"/>
      <c r="J137" s="98"/>
      <c r="K137" s="120"/>
      <c r="L137" s="98"/>
    </row>
    <row r="138" spans="1:12" x14ac:dyDescent="0.2">
      <c r="A138" s="10">
        <v>17225</v>
      </c>
      <c r="B138" s="11">
        <v>42205</v>
      </c>
      <c r="C138" s="12">
        <v>165.08</v>
      </c>
      <c r="D138" s="12">
        <v>12.58</v>
      </c>
      <c r="E138" s="17"/>
      <c r="F138" s="18"/>
      <c r="G138" s="19"/>
      <c r="H138" s="121"/>
      <c r="I138" s="118"/>
      <c r="J138" s="98"/>
      <c r="K138" s="120"/>
      <c r="L138" s="98"/>
    </row>
    <row r="139" spans="1:12" x14ac:dyDescent="0.2">
      <c r="A139" s="10">
        <v>17226</v>
      </c>
      <c r="B139" s="11">
        <v>42205</v>
      </c>
      <c r="C139" s="12">
        <v>15.16</v>
      </c>
      <c r="D139" s="12">
        <v>1.1599999999999999</v>
      </c>
      <c r="E139" s="15" t="s">
        <v>7</v>
      </c>
      <c r="F139" s="21"/>
      <c r="G139" s="22"/>
      <c r="H139" s="118"/>
      <c r="I139" s="118"/>
      <c r="J139" s="98"/>
      <c r="K139" s="120"/>
      <c r="L139" s="98"/>
    </row>
    <row r="140" spans="1:12" x14ac:dyDescent="0.2">
      <c r="A140" s="10">
        <v>17227</v>
      </c>
      <c r="B140" s="11">
        <v>42205</v>
      </c>
      <c r="C140" s="12">
        <v>44.5</v>
      </c>
      <c r="D140" s="12"/>
      <c r="E140" s="15" t="s">
        <v>417</v>
      </c>
      <c r="H140" s="118"/>
      <c r="I140" s="118"/>
      <c r="J140" s="98"/>
      <c r="K140" s="120"/>
      <c r="L140" s="98"/>
    </row>
    <row r="141" spans="1:12" x14ac:dyDescent="0.2">
      <c r="A141" s="10">
        <v>17228</v>
      </c>
      <c r="B141" s="11">
        <v>42205</v>
      </c>
      <c r="C141" s="12">
        <v>29.23</v>
      </c>
      <c r="D141" s="12">
        <v>2.23</v>
      </c>
      <c r="E141" s="17"/>
      <c r="H141" s="121"/>
      <c r="I141" s="118"/>
      <c r="J141" s="98"/>
      <c r="K141" s="120"/>
      <c r="L141" s="98"/>
    </row>
    <row r="142" spans="1:12" x14ac:dyDescent="0.2">
      <c r="A142" s="10">
        <v>17229</v>
      </c>
      <c r="B142" s="11">
        <v>42205</v>
      </c>
      <c r="C142" s="12">
        <v>-75.78</v>
      </c>
      <c r="D142" s="12">
        <v>-5.78</v>
      </c>
      <c r="E142" s="15" t="s">
        <v>11</v>
      </c>
      <c r="F142" s="34">
        <f>+C137+C139+C142</f>
        <v>69.38</v>
      </c>
      <c r="G142" s="34">
        <v>66.88</v>
      </c>
      <c r="H142" s="118"/>
      <c r="I142" s="118"/>
      <c r="J142" s="98"/>
      <c r="K142" s="120"/>
      <c r="L142" s="98"/>
    </row>
    <row r="143" spans="1:12" x14ac:dyDescent="0.2">
      <c r="A143" s="10">
        <v>17230</v>
      </c>
      <c r="B143" s="11">
        <v>42206</v>
      </c>
      <c r="C143" s="12">
        <v>75.78</v>
      </c>
      <c r="D143" s="12">
        <v>5.78</v>
      </c>
      <c r="E143" s="15" t="s">
        <v>7</v>
      </c>
      <c r="H143" s="118"/>
      <c r="I143" s="118"/>
      <c r="J143" s="98"/>
      <c r="K143" s="120"/>
      <c r="L143" s="98"/>
    </row>
    <row r="144" spans="1:12" x14ac:dyDescent="0.2">
      <c r="A144" s="10">
        <v>17231</v>
      </c>
      <c r="B144" s="11">
        <v>42206</v>
      </c>
      <c r="C144" s="12">
        <v>8.66</v>
      </c>
      <c r="D144" s="12">
        <v>0.66</v>
      </c>
      <c r="E144" s="17"/>
      <c r="F144" s="18"/>
      <c r="G144" s="19"/>
      <c r="H144" s="121"/>
      <c r="I144" s="118"/>
      <c r="J144" s="98"/>
      <c r="K144" s="120"/>
      <c r="L144" s="98"/>
    </row>
    <row r="145" spans="1:12" x14ac:dyDescent="0.2">
      <c r="A145" s="10">
        <v>17232</v>
      </c>
      <c r="B145" s="11">
        <v>42206</v>
      </c>
      <c r="C145" s="12">
        <v>1105</v>
      </c>
      <c r="D145" s="12">
        <v>84.22</v>
      </c>
      <c r="E145" s="17"/>
      <c r="H145" s="121"/>
      <c r="I145" s="118"/>
      <c r="J145" s="98"/>
      <c r="K145" s="120"/>
      <c r="L145" s="98"/>
    </row>
    <row r="146" spans="1:12" x14ac:dyDescent="0.2">
      <c r="A146" s="10">
        <v>17233</v>
      </c>
      <c r="B146" s="11">
        <v>42206</v>
      </c>
      <c r="C146" s="12">
        <v>0</v>
      </c>
      <c r="D146" s="12">
        <v>0</v>
      </c>
      <c r="E146" s="15" t="s">
        <v>418</v>
      </c>
      <c r="F146" s="21"/>
      <c r="G146" s="22"/>
      <c r="H146" s="118"/>
      <c r="I146" s="118"/>
      <c r="J146" s="98"/>
      <c r="K146" s="120"/>
      <c r="L146" s="98"/>
    </row>
    <row r="147" spans="1:12" x14ac:dyDescent="0.2">
      <c r="A147" s="10">
        <v>17234</v>
      </c>
      <c r="B147" s="11">
        <v>42206</v>
      </c>
      <c r="C147" s="12">
        <v>43.19</v>
      </c>
      <c r="D147" s="12">
        <v>3.29</v>
      </c>
      <c r="E147" s="17"/>
      <c r="F147" s="34">
        <f>95.5+C140+C143+137.27</f>
        <v>353.05</v>
      </c>
      <c r="G147" s="34">
        <v>351.21</v>
      </c>
      <c r="H147" s="121"/>
      <c r="I147" s="118"/>
      <c r="J147" s="98"/>
      <c r="K147" s="120"/>
      <c r="L147" s="98"/>
    </row>
    <row r="148" spans="1:12" x14ac:dyDescent="0.2">
      <c r="A148" s="10">
        <v>17235</v>
      </c>
      <c r="B148" s="11">
        <v>42207</v>
      </c>
      <c r="C148" s="12">
        <v>29.169999999999998</v>
      </c>
      <c r="D148" s="12">
        <v>2.2200000000000002</v>
      </c>
      <c r="E148" s="17"/>
      <c r="F148" s="18"/>
      <c r="G148" s="19"/>
      <c r="H148" s="121"/>
      <c r="I148" s="118"/>
      <c r="J148" s="98"/>
      <c r="K148" s="120"/>
      <c r="L148" s="98"/>
    </row>
    <row r="149" spans="1:12" x14ac:dyDescent="0.2">
      <c r="A149" s="10">
        <v>17236</v>
      </c>
      <c r="B149" s="11">
        <v>42207</v>
      </c>
      <c r="C149" s="12">
        <v>31.64</v>
      </c>
      <c r="D149" s="12">
        <v>2.41</v>
      </c>
      <c r="E149" s="17"/>
      <c r="F149" s="18"/>
      <c r="G149" s="19"/>
      <c r="H149" s="121"/>
      <c r="I149" s="118"/>
      <c r="J149" s="98"/>
      <c r="K149" s="120"/>
      <c r="L149" s="98"/>
    </row>
    <row r="150" spans="1:12" x14ac:dyDescent="0.2">
      <c r="A150" s="10">
        <v>17237</v>
      </c>
      <c r="B150" s="11">
        <v>42207</v>
      </c>
      <c r="C150" s="12">
        <v>244</v>
      </c>
      <c r="D150" s="12"/>
      <c r="E150" s="15" t="s">
        <v>16</v>
      </c>
      <c r="H150" s="118"/>
      <c r="I150" s="118"/>
      <c r="J150" s="98"/>
      <c r="K150" s="120"/>
      <c r="L150" s="98"/>
    </row>
    <row r="151" spans="1:12" x14ac:dyDescent="0.2">
      <c r="A151" s="10">
        <v>17238</v>
      </c>
      <c r="B151" s="11">
        <v>42207</v>
      </c>
      <c r="C151" s="12">
        <v>56.83</v>
      </c>
      <c r="D151" s="12">
        <v>4.33</v>
      </c>
      <c r="E151" s="15" t="s">
        <v>11</v>
      </c>
      <c r="H151" s="118"/>
      <c r="I151" s="118"/>
      <c r="J151" s="98"/>
      <c r="K151" s="120"/>
      <c r="L151" s="98"/>
    </row>
    <row r="152" spans="1:12" x14ac:dyDescent="0.2">
      <c r="A152" s="10">
        <v>17239</v>
      </c>
      <c r="B152" s="11">
        <v>42207</v>
      </c>
      <c r="C152" s="12">
        <v>32.479999999999997</v>
      </c>
      <c r="D152" s="12">
        <v>2.48</v>
      </c>
      <c r="E152" s="15" t="s">
        <v>11</v>
      </c>
      <c r="H152" s="118"/>
      <c r="I152" s="118"/>
      <c r="J152" s="98"/>
      <c r="K152" s="120"/>
      <c r="L152" s="98"/>
    </row>
    <row r="153" spans="1:12" x14ac:dyDescent="0.2">
      <c r="A153" s="10">
        <v>17240</v>
      </c>
      <c r="B153" s="11">
        <v>42207</v>
      </c>
      <c r="C153" s="12">
        <v>363.18</v>
      </c>
      <c r="D153" s="12">
        <v>27.68</v>
      </c>
      <c r="E153" s="15" t="s">
        <v>11</v>
      </c>
      <c r="H153" s="118"/>
      <c r="I153" s="118"/>
      <c r="J153" s="98"/>
      <c r="K153" s="120"/>
      <c r="L153" s="98"/>
    </row>
    <row r="154" spans="1:12" x14ac:dyDescent="0.2">
      <c r="A154" s="10">
        <v>17241</v>
      </c>
      <c r="B154" s="11">
        <v>42207</v>
      </c>
      <c r="C154" s="12">
        <v>26.3</v>
      </c>
      <c r="D154" s="12">
        <v>2</v>
      </c>
      <c r="E154" s="15" t="s">
        <v>11</v>
      </c>
      <c r="F154" s="21"/>
      <c r="G154" s="22"/>
      <c r="H154" s="118"/>
      <c r="I154" s="118"/>
      <c r="J154" s="98"/>
      <c r="K154" s="120"/>
      <c r="L154" s="98"/>
    </row>
    <row r="155" spans="1:12" x14ac:dyDescent="0.2">
      <c r="A155" s="10">
        <v>17242</v>
      </c>
      <c r="B155" s="11">
        <v>42207</v>
      </c>
      <c r="C155" s="12">
        <v>136.38</v>
      </c>
      <c r="D155" s="12">
        <v>10.39</v>
      </c>
      <c r="E155" s="15" t="s">
        <v>419</v>
      </c>
      <c r="F155" s="34">
        <f>+C151+C152+C153+C154</f>
        <v>478.79</v>
      </c>
      <c r="G155" s="34">
        <v>475.53</v>
      </c>
      <c r="H155" s="118"/>
      <c r="I155" s="118"/>
      <c r="J155" s="98"/>
      <c r="K155" s="120"/>
      <c r="L155" s="98"/>
    </row>
    <row r="156" spans="1:12" x14ac:dyDescent="0.2">
      <c r="A156" s="10">
        <v>17243</v>
      </c>
      <c r="B156" s="11">
        <v>42208</v>
      </c>
      <c r="C156" s="12">
        <v>7.74</v>
      </c>
      <c r="D156" s="12">
        <v>0.59</v>
      </c>
      <c r="E156" s="15" t="s">
        <v>11</v>
      </c>
      <c r="F156" s="21"/>
      <c r="G156" s="22"/>
      <c r="H156" s="118"/>
      <c r="I156" s="118"/>
      <c r="J156" s="98"/>
      <c r="K156" s="120"/>
      <c r="L156" s="98"/>
    </row>
    <row r="157" spans="1:12" x14ac:dyDescent="0.2">
      <c r="A157" s="10">
        <v>17244</v>
      </c>
      <c r="B157" s="11">
        <v>42208</v>
      </c>
      <c r="C157" s="12">
        <v>85.52</v>
      </c>
      <c r="D157" s="12">
        <v>6.52</v>
      </c>
      <c r="E157" s="17"/>
      <c r="H157" s="121"/>
      <c r="I157" s="118"/>
      <c r="J157" s="98"/>
      <c r="K157" s="120"/>
      <c r="L157" s="98"/>
    </row>
    <row r="158" spans="1:12" x14ac:dyDescent="0.2">
      <c r="A158" s="10">
        <v>17245</v>
      </c>
      <c r="B158" s="11">
        <v>42208</v>
      </c>
      <c r="C158" s="12">
        <v>44.910000000000004</v>
      </c>
      <c r="D158" s="12">
        <v>3.42</v>
      </c>
      <c r="E158" s="15" t="s">
        <v>11</v>
      </c>
      <c r="H158" s="118"/>
      <c r="I158" s="118"/>
      <c r="J158" s="98"/>
      <c r="K158" s="120"/>
      <c r="L158" s="98"/>
    </row>
    <row r="159" spans="1:12" x14ac:dyDescent="0.2">
      <c r="A159" s="10">
        <v>17246</v>
      </c>
      <c r="B159" s="11">
        <v>42208</v>
      </c>
      <c r="C159" s="12">
        <v>487.13</v>
      </c>
      <c r="D159" s="12">
        <v>37.130000000000003</v>
      </c>
      <c r="E159" s="17"/>
      <c r="H159" s="121"/>
      <c r="I159" s="118"/>
      <c r="J159" s="98"/>
      <c r="K159" s="120"/>
      <c r="L159" s="98"/>
    </row>
    <row r="160" spans="1:12" x14ac:dyDescent="0.2">
      <c r="A160" s="10">
        <v>17247</v>
      </c>
      <c r="B160" s="11">
        <v>42208</v>
      </c>
      <c r="C160" s="12">
        <v>0</v>
      </c>
      <c r="D160" s="12"/>
      <c r="E160" s="13" t="s">
        <v>420</v>
      </c>
      <c r="H160" s="121"/>
      <c r="I160" s="118"/>
      <c r="J160" s="98"/>
      <c r="K160" s="120"/>
      <c r="L160" s="98"/>
    </row>
    <row r="161" spans="1:12" x14ac:dyDescent="0.2">
      <c r="A161" s="10">
        <v>17248</v>
      </c>
      <c r="B161" s="11">
        <v>42208</v>
      </c>
      <c r="C161" s="12">
        <v>38.92</v>
      </c>
      <c r="D161" s="12">
        <v>2.97</v>
      </c>
      <c r="E161" s="15" t="s">
        <v>11</v>
      </c>
      <c r="F161" s="21"/>
      <c r="G161" s="22"/>
      <c r="H161" s="118"/>
      <c r="I161" s="118"/>
      <c r="J161" s="98"/>
      <c r="K161" s="120"/>
      <c r="L161" s="98"/>
    </row>
    <row r="162" spans="1:12" x14ac:dyDescent="0.2">
      <c r="A162" s="10">
        <v>17249</v>
      </c>
      <c r="B162" s="11">
        <v>42208</v>
      </c>
      <c r="C162" s="12">
        <v>16.66</v>
      </c>
      <c r="D162" s="12">
        <v>0.66</v>
      </c>
      <c r="E162" s="17"/>
      <c r="H162" s="121"/>
      <c r="I162" s="118"/>
      <c r="J162" s="98"/>
      <c r="K162" s="120"/>
      <c r="L162" s="98"/>
    </row>
    <row r="163" spans="1:12" x14ac:dyDescent="0.2">
      <c r="A163" s="10">
        <v>17250</v>
      </c>
      <c r="B163" s="11">
        <v>42208</v>
      </c>
      <c r="C163" s="12">
        <v>140</v>
      </c>
      <c r="D163" s="12"/>
      <c r="E163" s="13" t="s">
        <v>8</v>
      </c>
      <c r="H163" s="121"/>
      <c r="I163" s="118"/>
      <c r="J163" s="98"/>
      <c r="K163" s="120"/>
      <c r="L163" s="98"/>
    </row>
    <row r="164" spans="1:12" x14ac:dyDescent="0.2">
      <c r="A164" s="10">
        <v>17251</v>
      </c>
      <c r="B164" s="11">
        <v>42208</v>
      </c>
      <c r="C164" s="12">
        <v>128.82</v>
      </c>
      <c r="D164" s="12">
        <v>9.82</v>
      </c>
      <c r="E164" s="17"/>
      <c r="F164" s="18"/>
      <c r="G164" s="19"/>
      <c r="H164" s="121"/>
      <c r="I164" s="118"/>
      <c r="J164" s="98"/>
      <c r="K164" s="120"/>
      <c r="L164" s="98"/>
    </row>
    <row r="165" spans="1:12" x14ac:dyDescent="0.2">
      <c r="A165" s="10">
        <v>17252</v>
      </c>
      <c r="B165" s="11">
        <v>42208</v>
      </c>
      <c r="C165" s="12">
        <v>204.59</v>
      </c>
      <c r="D165" s="12">
        <v>15.59</v>
      </c>
      <c r="E165" s="13" t="s">
        <v>421</v>
      </c>
      <c r="F165" s="34">
        <f>+C158+C161+139.59</f>
        <v>223.42000000000002</v>
      </c>
      <c r="G165" s="34">
        <v>221.1</v>
      </c>
      <c r="H165" s="121"/>
      <c r="I165" s="118"/>
      <c r="J165" s="98"/>
      <c r="K165" s="120"/>
      <c r="L165" s="98"/>
    </row>
    <row r="166" spans="1:12" x14ac:dyDescent="0.2">
      <c r="A166" s="10">
        <v>17253</v>
      </c>
      <c r="B166" s="11">
        <v>42209</v>
      </c>
      <c r="C166" s="12">
        <v>16.18</v>
      </c>
      <c r="D166" s="12">
        <v>1.23</v>
      </c>
      <c r="E166" s="15" t="s">
        <v>7</v>
      </c>
      <c r="H166" s="118"/>
      <c r="I166" s="118"/>
      <c r="J166" s="98"/>
      <c r="K166" s="120"/>
      <c r="L166" s="98"/>
    </row>
    <row r="167" spans="1:12" x14ac:dyDescent="0.2">
      <c r="A167" s="10">
        <v>17254</v>
      </c>
      <c r="B167" s="11">
        <v>42209</v>
      </c>
      <c r="C167" s="12">
        <v>90.03</v>
      </c>
      <c r="D167" s="12">
        <v>6.86</v>
      </c>
      <c r="E167" s="17"/>
      <c r="H167" s="121"/>
      <c r="I167" s="118"/>
      <c r="J167" s="98"/>
      <c r="K167" s="120"/>
      <c r="L167" s="98"/>
    </row>
    <row r="168" spans="1:12" x14ac:dyDescent="0.2">
      <c r="A168" s="10">
        <v>17255</v>
      </c>
      <c r="B168" s="11">
        <v>42209</v>
      </c>
      <c r="C168" s="12">
        <v>21.65</v>
      </c>
      <c r="D168" s="12">
        <v>1.65</v>
      </c>
      <c r="E168" s="15" t="s">
        <v>11</v>
      </c>
      <c r="H168" s="118"/>
      <c r="I168" s="118"/>
      <c r="J168" s="98"/>
      <c r="K168" s="120"/>
      <c r="L168" s="98"/>
    </row>
    <row r="169" spans="1:12" x14ac:dyDescent="0.2">
      <c r="A169" s="10">
        <v>17256</v>
      </c>
      <c r="B169" s="11">
        <v>42209</v>
      </c>
      <c r="C169" s="12">
        <v>46</v>
      </c>
      <c r="D169" s="12">
        <v>3.51</v>
      </c>
      <c r="E169" s="17"/>
      <c r="F169" s="18"/>
      <c r="G169" s="19"/>
      <c r="H169" s="121"/>
      <c r="I169" s="118"/>
      <c r="J169" s="98"/>
      <c r="K169" s="120"/>
      <c r="L169" s="98"/>
    </row>
    <row r="170" spans="1:12" x14ac:dyDescent="0.2">
      <c r="A170" s="10">
        <v>17257</v>
      </c>
      <c r="B170" s="11">
        <v>42209</v>
      </c>
      <c r="C170" s="12">
        <v>16.18</v>
      </c>
      <c r="D170" s="12">
        <v>1.23</v>
      </c>
      <c r="E170" s="15" t="s">
        <v>11</v>
      </c>
      <c r="H170" s="118"/>
      <c r="I170" s="118"/>
      <c r="J170" s="98"/>
      <c r="K170" s="120"/>
      <c r="L170" s="98"/>
    </row>
    <row r="171" spans="1:12" x14ac:dyDescent="0.2">
      <c r="A171" s="10">
        <v>17258</v>
      </c>
      <c r="B171" s="11">
        <v>42209</v>
      </c>
      <c r="C171" s="12">
        <v>81.19</v>
      </c>
      <c r="D171" s="12">
        <v>6.19</v>
      </c>
      <c r="E171" s="15" t="s">
        <v>11</v>
      </c>
      <c r="F171" s="21"/>
      <c r="G171" s="22"/>
      <c r="H171" s="118"/>
      <c r="I171" s="118"/>
      <c r="J171" s="98"/>
      <c r="K171" s="120"/>
      <c r="L171" s="98"/>
    </row>
    <row r="172" spans="1:12" x14ac:dyDescent="0.2">
      <c r="A172" s="10">
        <v>17259</v>
      </c>
      <c r="B172" s="11">
        <v>42209</v>
      </c>
      <c r="C172" s="12">
        <v>15.1</v>
      </c>
      <c r="D172" s="12">
        <v>1.1499999999999999</v>
      </c>
      <c r="E172" s="15" t="s">
        <v>7</v>
      </c>
      <c r="H172" s="118"/>
      <c r="I172" s="118"/>
      <c r="J172" s="98"/>
      <c r="K172" s="120"/>
      <c r="L172" s="98"/>
    </row>
    <row r="173" spans="1:12" x14ac:dyDescent="0.2">
      <c r="A173" s="10">
        <v>17260</v>
      </c>
      <c r="B173" s="11">
        <v>42209</v>
      </c>
      <c r="C173" s="12">
        <v>327.89</v>
      </c>
      <c r="D173" s="12">
        <v>24.99</v>
      </c>
      <c r="E173" s="15" t="s">
        <v>11</v>
      </c>
      <c r="F173" s="21"/>
      <c r="G173" s="22"/>
      <c r="H173" s="118"/>
      <c r="I173" s="118"/>
      <c r="J173" s="98"/>
      <c r="K173" s="120"/>
      <c r="L173" s="98"/>
    </row>
    <row r="174" spans="1:12" x14ac:dyDescent="0.2">
      <c r="A174" s="10">
        <v>17261</v>
      </c>
      <c r="B174" s="11">
        <v>42209</v>
      </c>
      <c r="C174" s="12">
        <v>25.93</v>
      </c>
      <c r="D174" s="12">
        <v>1.98</v>
      </c>
      <c r="E174" s="17"/>
      <c r="H174" s="121"/>
      <c r="I174" s="118"/>
      <c r="J174" s="98"/>
      <c r="K174" s="120"/>
      <c r="L174" s="98"/>
    </row>
    <row r="175" spans="1:12" x14ac:dyDescent="0.2">
      <c r="A175" s="10">
        <v>17262</v>
      </c>
      <c r="B175" s="11">
        <v>42209</v>
      </c>
      <c r="C175" s="12">
        <v>50</v>
      </c>
      <c r="D175" s="12">
        <v>3.81</v>
      </c>
      <c r="E175" s="15" t="s">
        <v>11</v>
      </c>
      <c r="F175" s="21"/>
      <c r="G175" s="22"/>
      <c r="H175" s="118"/>
      <c r="I175" s="118"/>
      <c r="J175" s="98"/>
      <c r="K175" s="120"/>
      <c r="L175" s="98"/>
    </row>
    <row r="176" spans="1:12" x14ac:dyDescent="0.2">
      <c r="A176" s="10">
        <v>17263</v>
      </c>
      <c r="B176" s="11">
        <v>42209</v>
      </c>
      <c r="C176" s="12">
        <v>83.89</v>
      </c>
      <c r="D176" s="12">
        <v>6.39</v>
      </c>
      <c r="E176" s="17"/>
      <c r="F176" s="18"/>
      <c r="G176" s="19"/>
      <c r="H176" s="121"/>
      <c r="I176" s="118"/>
      <c r="J176" s="98"/>
      <c r="K176" s="120"/>
      <c r="L176" s="98"/>
    </row>
    <row r="177" spans="1:12" x14ac:dyDescent="0.2">
      <c r="A177" s="10">
        <v>17264</v>
      </c>
      <c r="B177" s="11">
        <v>42209</v>
      </c>
      <c r="C177" s="12">
        <v>192.69</v>
      </c>
      <c r="D177" s="12">
        <v>14.69</v>
      </c>
      <c r="E177" s="17"/>
      <c r="F177" s="18"/>
      <c r="G177" s="19"/>
      <c r="H177" s="121"/>
      <c r="I177" s="118"/>
      <c r="J177" s="98"/>
      <c r="K177" s="120"/>
      <c r="L177" s="98"/>
    </row>
    <row r="178" spans="1:12" x14ac:dyDescent="0.2">
      <c r="A178" s="10">
        <v>17265</v>
      </c>
      <c r="B178" s="11">
        <v>42209</v>
      </c>
      <c r="C178" s="12">
        <v>5</v>
      </c>
      <c r="D178" s="12">
        <v>0.38</v>
      </c>
      <c r="E178" s="17"/>
      <c r="H178" s="121"/>
      <c r="I178" s="118"/>
      <c r="J178" s="98"/>
      <c r="K178" s="120"/>
      <c r="L178" s="98"/>
    </row>
    <row r="179" spans="1:12" x14ac:dyDescent="0.2">
      <c r="A179" s="10">
        <v>17266</v>
      </c>
      <c r="B179" s="11">
        <v>42209</v>
      </c>
      <c r="C179" s="12">
        <v>21.599999999999998</v>
      </c>
      <c r="D179" s="12">
        <v>1.65</v>
      </c>
      <c r="E179" s="17"/>
      <c r="H179" s="121"/>
      <c r="I179" s="118"/>
      <c r="J179" s="98"/>
      <c r="K179" s="120"/>
      <c r="L179" s="98"/>
    </row>
    <row r="180" spans="1:12" x14ac:dyDescent="0.2">
      <c r="A180" s="10">
        <v>17267</v>
      </c>
      <c r="B180" s="11">
        <v>42209</v>
      </c>
      <c r="C180" s="12">
        <v>52</v>
      </c>
      <c r="D180" s="12"/>
      <c r="E180" s="15" t="s">
        <v>363</v>
      </c>
      <c r="H180" s="118"/>
      <c r="I180" s="118"/>
      <c r="J180" s="98"/>
      <c r="K180" s="120"/>
      <c r="L180" s="98"/>
    </row>
    <row r="181" spans="1:12" x14ac:dyDescent="0.2">
      <c r="A181" s="10">
        <v>17268</v>
      </c>
      <c r="B181" s="11">
        <v>42209</v>
      </c>
      <c r="C181" s="12">
        <v>20.57</v>
      </c>
      <c r="D181" s="12">
        <v>1.57</v>
      </c>
      <c r="E181" s="17"/>
      <c r="H181" s="121"/>
      <c r="I181" s="118"/>
      <c r="J181" s="98"/>
      <c r="K181" s="120"/>
      <c r="L181" s="98"/>
    </row>
    <row r="182" spans="1:12" x14ac:dyDescent="0.2">
      <c r="A182" s="10">
        <v>17269</v>
      </c>
      <c r="B182" s="11">
        <v>42209</v>
      </c>
      <c r="C182" s="12">
        <v>231.91</v>
      </c>
      <c r="D182" s="12">
        <v>16.91</v>
      </c>
      <c r="E182" s="15" t="s">
        <v>21</v>
      </c>
      <c r="H182" s="118"/>
      <c r="I182" s="118"/>
      <c r="J182" s="98"/>
      <c r="K182" s="120"/>
      <c r="L182" s="98"/>
    </row>
    <row r="183" spans="1:12" x14ac:dyDescent="0.2">
      <c r="A183" s="10">
        <v>17270</v>
      </c>
      <c r="B183" s="11">
        <v>42209</v>
      </c>
      <c r="C183" s="12">
        <v>78.86</v>
      </c>
      <c r="D183" s="12">
        <v>6.01</v>
      </c>
      <c r="E183" s="15" t="s">
        <v>21</v>
      </c>
      <c r="H183" s="118"/>
      <c r="I183" s="118"/>
      <c r="J183" s="98"/>
      <c r="K183" s="120"/>
      <c r="L183" s="98"/>
    </row>
    <row r="184" spans="1:12" x14ac:dyDescent="0.2">
      <c r="A184" s="10">
        <v>17271</v>
      </c>
      <c r="B184" s="11">
        <v>42209</v>
      </c>
      <c r="C184" s="12">
        <v>5.62</v>
      </c>
      <c r="D184" s="12">
        <v>0.43</v>
      </c>
      <c r="E184" s="15" t="s">
        <v>268</v>
      </c>
      <c r="F184" s="34">
        <f>+C166+C156+C168+C170+C172+296.06+C173+C175+C171</f>
        <v>831.99</v>
      </c>
      <c r="G184" s="34">
        <v>825.52</v>
      </c>
      <c r="H184" s="118"/>
      <c r="I184" s="118"/>
      <c r="J184" s="98"/>
      <c r="K184" s="120"/>
      <c r="L184" s="98"/>
    </row>
    <row r="185" spans="1:12" x14ac:dyDescent="0.2">
      <c r="A185" s="10">
        <v>17272</v>
      </c>
      <c r="B185" s="11">
        <v>42210</v>
      </c>
      <c r="C185" s="12">
        <v>50.88</v>
      </c>
      <c r="D185" s="12">
        <v>3.88</v>
      </c>
      <c r="E185" s="17"/>
      <c r="F185" s="18"/>
      <c r="G185" s="19"/>
      <c r="H185" s="121"/>
      <c r="I185" s="118"/>
      <c r="J185" s="98"/>
      <c r="K185" s="120"/>
      <c r="L185" s="98"/>
    </row>
    <row r="186" spans="1:12" x14ac:dyDescent="0.2">
      <c r="A186" s="10">
        <v>17273</v>
      </c>
      <c r="B186" s="11">
        <v>42210</v>
      </c>
      <c r="C186" s="12">
        <v>31.34</v>
      </c>
      <c r="D186" s="12">
        <v>2.39</v>
      </c>
      <c r="E186" s="15" t="s">
        <v>11</v>
      </c>
      <c r="H186" s="118"/>
      <c r="I186" s="118"/>
      <c r="J186" s="98"/>
      <c r="K186" s="120"/>
      <c r="L186" s="98"/>
    </row>
    <row r="187" spans="1:12" x14ac:dyDescent="0.2">
      <c r="A187" s="10">
        <v>17274</v>
      </c>
      <c r="B187" s="11">
        <v>42210</v>
      </c>
      <c r="C187" s="12">
        <v>2.71</v>
      </c>
      <c r="D187" s="12"/>
      <c r="E187" s="13" t="s">
        <v>135</v>
      </c>
      <c r="F187" s="18"/>
      <c r="G187" s="19"/>
      <c r="H187" s="121"/>
      <c r="I187" s="118"/>
      <c r="J187" s="98"/>
      <c r="K187" s="120"/>
      <c r="L187" s="98"/>
    </row>
    <row r="188" spans="1:12" x14ac:dyDescent="0.2">
      <c r="A188" s="10">
        <v>17275</v>
      </c>
      <c r="B188" s="11">
        <v>42210</v>
      </c>
      <c r="C188" s="12">
        <v>9.69</v>
      </c>
      <c r="D188" s="12">
        <v>0.74</v>
      </c>
      <c r="E188" s="17"/>
      <c r="F188" s="18"/>
      <c r="G188" s="19"/>
      <c r="H188" s="121"/>
      <c r="I188" s="118"/>
      <c r="J188" s="98"/>
      <c r="K188" s="120"/>
      <c r="L188" s="98"/>
    </row>
    <row r="189" spans="1:12" x14ac:dyDescent="0.2">
      <c r="A189" s="10">
        <v>17276</v>
      </c>
      <c r="B189" s="11">
        <v>42210</v>
      </c>
      <c r="C189" s="12">
        <v>122</v>
      </c>
      <c r="D189" s="12">
        <v>9.3000000000000007</v>
      </c>
      <c r="E189" s="17"/>
      <c r="F189" s="18"/>
      <c r="G189" s="19"/>
      <c r="H189" s="121"/>
      <c r="I189" s="118"/>
      <c r="J189" s="98"/>
      <c r="K189" s="120"/>
      <c r="L189" s="98"/>
    </row>
    <row r="190" spans="1:12" x14ac:dyDescent="0.2">
      <c r="A190" s="10">
        <v>17277</v>
      </c>
      <c r="B190" s="11">
        <v>42210</v>
      </c>
      <c r="C190" s="12">
        <v>46.49</v>
      </c>
      <c r="D190" s="12">
        <v>3.54</v>
      </c>
      <c r="E190" s="15" t="s">
        <v>7</v>
      </c>
      <c r="H190" s="118"/>
      <c r="I190" s="118"/>
      <c r="J190" s="98"/>
      <c r="K190" s="120"/>
      <c r="L190" s="98"/>
    </row>
    <row r="191" spans="1:12" x14ac:dyDescent="0.2">
      <c r="A191" s="10">
        <v>17278</v>
      </c>
      <c r="B191" s="11">
        <v>42210</v>
      </c>
      <c r="C191" s="12">
        <v>429.75</v>
      </c>
      <c r="D191" s="12">
        <v>32.75</v>
      </c>
      <c r="E191" s="15" t="s">
        <v>422</v>
      </c>
      <c r="H191" s="118"/>
      <c r="I191" s="118"/>
      <c r="J191" s="98"/>
      <c r="K191" s="120"/>
      <c r="L191" s="98"/>
    </row>
    <row r="192" spans="1:12" x14ac:dyDescent="0.2">
      <c r="A192" s="10">
        <v>17279</v>
      </c>
      <c r="B192" s="11">
        <v>42210</v>
      </c>
      <c r="C192" s="12">
        <v>5.36</v>
      </c>
      <c r="D192" s="12">
        <v>0.41</v>
      </c>
      <c r="E192" s="15" t="s">
        <v>11</v>
      </c>
      <c r="H192" s="118"/>
      <c r="I192" s="118"/>
      <c r="J192" s="98"/>
      <c r="K192" s="120"/>
      <c r="L192" s="98"/>
    </row>
    <row r="193" spans="1:12" x14ac:dyDescent="0.2">
      <c r="A193" s="10">
        <v>17280</v>
      </c>
      <c r="B193" s="11">
        <v>42210</v>
      </c>
      <c r="C193" s="12">
        <v>19.489999999999998</v>
      </c>
      <c r="D193" s="12">
        <v>1.49</v>
      </c>
      <c r="E193" s="15" t="s">
        <v>7</v>
      </c>
      <c r="F193" s="34">
        <f>+C186+C190+200+C192+C193+C182</f>
        <v>534.59</v>
      </c>
      <c r="G193" s="34">
        <v>524.98</v>
      </c>
      <c r="H193" s="118"/>
      <c r="I193" s="118"/>
      <c r="J193" s="98"/>
      <c r="K193" s="120"/>
      <c r="L193" s="98"/>
    </row>
    <row r="194" spans="1:12" x14ac:dyDescent="0.2">
      <c r="A194" s="10">
        <v>17281</v>
      </c>
      <c r="B194" s="11">
        <v>42212</v>
      </c>
      <c r="C194" s="12">
        <v>17.209999999999997</v>
      </c>
      <c r="D194" s="12">
        <v>1.31</v>
      </c>
      <c r="E194" s="17"/>
      <c r="H194" s="121"/>
      <c r="I194" s="118"/>
      <c r="J194" s="98"/>
      <c r="K194" s="120"/>
      <c r="L194" s="98"/>
    </row>
    <row r="195" spans="1:12" x14ac:dyDescent="0.2">
      <c r="A195" s="10">
        <v>17282</v>
      </c>
      <c r="B195" s="11">
        <v>42212</v>
      </c>
      <c r="C195" s="12">
        <v>16.239999999999998</v>
      </c>
      <c r="D195" s="12">
        <v>1.24</v>
      </c>
      <c r="E195" s="15" t="s">
        <v>11</v>
      </c>
      <c r="H195" s="118"/>
      <c r="I195" s="118"/>
      <c r="J195" s="98"/>
      <c r="K195" s="120"/>
      <c r="L195" s="98"/>
    </row>
    <row r="196" spans="1:12" x14ac:dyDescent="0.2">
      <c r="A196" s="10">
        <v>17283</v>
      </c>
      <c r="B196" s="11">
        <v>42212</v>
      </c>
      <c r="C196" s="12">
        <v>12.99</v>
      </c>
      <c r="D196" s="12">
        <v>0.99</v>
      </c>
      <c r="E196" s="17"/>
      <c r="H196" s="121"/>
      <c r="I196" s="118"/>
      <c r="J196" s="98"/>
      <c r="K196" s="120"/>
      <c r="L196" s="98"/>
    </row>
    <row r="197" spans="1:12" x14ac:dyDescent="0.2">
      <c r="A197" s="10">
        <v>17284</v>
      </c>
      <c r="B197" s="11">
        <v>42212</v>
      </c>
      <c r="C197" s="12">
        <v>348.5</v>
      </c>
      <c r="D197" s="12"/>
      <c r="E197" s="13" t="s">
        <v>279</v>
      </c>
      <c r="H197" s="121"/>
      <c r="I197" s="118"/>
      <c r="J197" s="98"/>
      <c r="K197" s="120"/>
      <c r="L197" s="98"/>
    </row>
    <row r="198" spans="1:12" x14ac:dyDescent="0.2">
      <c r="A198" s="10">
        <v>17285</v>
      </c>
      <c r="B198" s="11">
        <v>42212</v>
      </c>
      <c r="C198" s="12">
        <v>468.72</v>
      </c>
      <c r="D198" s="12">
        <v>35.72</v>
      </c>
      <c r="E198" s="15" t="s">
        <v>11</v>
      </c>
      <c r="H198" s="118"/>
      <c r="I198" s="118"/>
      <c r="J198" s="98"/>
      <c r="K198" s="120"/>
      <c r="L198" s="98"/>
    </row>
    <row r="199" spans="1:12" x14ac:dyDescent="0.2">
      <c r="A199" s="10">
        <v>17286</v>
      </c>
      <c r="B199" s="11">
        <v>42212</v>
      </c>
      <c r="C199" s="12">
        <v>103.92</v>
      </c>
      <c r="D199" s="12">
        <v>7.92</v>
      </c>
      <c r="E199" s="15" t="s">
        <v>11</v>
      </c>
      <c r="H199" s="118"/>
      <c r="I199" s="118"/>
      <c r="J199" s="98"/>
      <c r="K199" s="120"/>
      <c r="L199" s="98"/>
    </row>
    <row r="200" spans="1:12" x14ac:dyDescent="0.2">
      <c r="A200" s="10">
        <v>17287</v>
      </c>
      <c r="B200" s="11">
        <v>42212</v>
      </c>
      <c r="C200" s="12">
        <v>128</v>
      </c>
      <c r="D200" s="12"/>
      <c r="E200" s="13" t="s">
        <v>8</v>
      </c>
      <c r="H200" s="121"/>
      <c r="I200" s="118"/>
      <c r="J200" s="98"/>
      <c r="K200" s="120"/>
      <c r="L200" s="98"/>
    </row>
    <row r="201" spans="1:12" x14ac:dyDescent="0.2">
      <c r="A201" s="10">
        <v>17288</v>
      </c>
      <c r="B201" s="11">
        <v>42212</v>
      </c>
      <c r="C201" s="12">
        <v>260</v>
      </c>
      <c r="D201" s="12"/>
      <c r="E201" s="15" t="s">
        <v>8</v>
      </c>
      <c r="H201" s="118"/>
      <c r="I201" s="118"/>
      <c r="J201" s="98"/>
      <c r="K201" s="120"/>
      <c r="L201" s="98"/>
    </row>
    <row r="202" spans="1:12" x14ac:dyDescent="0.2">
      <c r="A202" s="10">
        <v>17289</v>
      </c>
      <c r="B202" s="11">
        <v>42212</v>
      </c>
      <c r="C202" s="12">
        <v>430</v>
      </c>
      <c r="D202" s="12">
        <v>32.770000000000003</v>
      </c>
      <c r="E202" s="13" t="s">
        <v>423</v>
      </c>
      <c r="F202" s="18"/>
      <c r="G202" s="19"/>
      <c r="H202" s="121"/>
      <c r="I202" s="118"/>
      <c r="J202" s="98"/>
      <c r="K202" s="120"/>
      <c r="L202" s="98"/>
    </row>
    <row r="203" spans="1:12" x14ac:dyDescent="0.2">
      <c r="A203" s="10">
        <v>17290</v>
      </c>
      <c r="B203" s="11">
        <v>42212</v>
      </c>
      <c r="C203" s="12">
        <v>12</v>
      </c>
      <c r="D203" s="12">
        <v>0.91</v>
      </c>
      <c r="E203" s="15" t="s">
        <v>11</v>
      </c>
      <c r="F203" s="21"/>
      <c r="G203" s="22"/>
      <c r="H203" s="118"/>
      <c r="I203" s="118"/>
      <c r="J203" s="98"/>
      <c r="K203" s="120"/>
      <c r="L203" s="98"/>
    </row>
    <row r="204" spans="1:12" x14ac:dyDescent="0.2">
      <c r="A204" s="10">
        <v>17291</v>
      </c>
      <c r="B204" s="11">
        <v>42212</v>
      </c>
      <c r="C204" s="12">
        <v>105.53</v>
      </c>
      <c r="D204" s="12">
        <v>8.0399999999999991</v>
      </c>
      <c r="E204" s="17"/>
      <c r="F204" s="34">
        <f>+C195+C198+C199+110+C203</f>
        <v>710.88</v>
      </c>
      <c r="G204" s="34">
        <v>706.12</v>
      </c>
      <c r="H204" s="121"/>
      <c r="I204" s="118"/>
      <c r="J204" s="98"/>
      <c r="K204" s="120"/>
      <c r="L204" s="98"/>
    </row>
    <row r="205" spans="1:12" x14ac:dyDescent="0.2">
      <c r="A205" s="10">
        <v>17292</v>
      </c>
      <c r="B205" s="11">
        <v>42213</v>
      </c>
      <c r="C205" s="12">
        <v>18.399999999999999</v>
      </c>
      <c r="D205" s="12">
        <v>1.4</v>
      </c>
      <c r="E205" s="15" t="s">
        <v>11</v>
      </c>
      <c r="F205" s="21"/>
      <c r="G205" s="22"/>
      <c r="H205" s="118"/>
      <c r="I205" s="118"/>
      <c r="J205" s="98"/>
      <c r="K205" s="120"/>
      <c r="L205" s="98"/>
    </row>
    <row r="206" spans="1:12" x14ac:dyDescent="0.2">
      <c r="A206" s="10">
        <v>17293</v>
      </c>
      <c r="B206" s="11">
        <v>42213</v>
      </c>
      <c r="C206" s="12">
        <v>173.2</v>
      </c>
      <c r="D206" s="12">
        <v>13.2</v>
      </c>
      <c r="E206" s="15" t="s">
        <v>11</v>
      </c>
      <c r="F206" s="21"/>
      <c r="G206" s="22"/>
      <c r="H206" s="118"/>
      <c r="I206" s="118"/>
      <c r="J206" s="98"/>
      <c r="K206" s="120"/>
      <c r="L206" s="98"/>
    </row>
    <row r="207" spans="1:12" x14ac:dyDescent="0.2">
      <c r="A207" s="10">
        <v>17294</v>
      </c>
      <c r="B207" s="11">
        <v>42213</v>
      </c>
      <c r="C207" s="12">
        <v>110.16</v>
      </c>
      <c r="D207" s="12"/>
      <c r="E207" s="13" t="s">
        <v>135</v>
      </c>
      <c r="H207" s="121"/>
      <c r="I207" s="118"/>
      <c r="J207" s="98"/>
      <c r="K207" s="120"/>
      <c r="L207" s="98"/>
    </row>
    <row r="208" spans="1:12" x14ac:dyDescent="0.2">
      <c r="A208" s="10">
        <v>17295</v>
      </c>
      <c r="B208" s="11">
        <v>42213</v>
      </c>
      <c r="C208" s="12">
        <v>30.31</v>
      </c>
      <c r="D208" s="12">
        <v>2.31</v>
      </c>
      <c r="E208" s="17"/>
      <c r="H208" s="121"/>
      <c r="I208" s="118"/>
      <c r="J208" s="98"/>
      <c r="K208" s="120"/>
      <c r="L208" s="98"/>
    </row>
    <row r="209" spans="1:12" x14ac:dyDescent="0.2">
      <c r="A209" s="10">
        <v>17296</v>
      </c>
      <c r="B209" s="11">
        <v>42213</v>
      </c>
      <c r="C209" s="12">
        <v>166.71</v>
      </c>
      <c r="D209" s="12">
        <v>12.71</v>
      </c>
      <c r="E209" s="15" t="s">
        <v>11</v>
      </c>
      <c r="H209" s="118"/>
      <c r="I209" s="118"/>
      <c r="J209" s="98"/>
      <c r="K209" s="120"/>
      <c r="L209" s="98"/>
    </row>
    <row r="210" spans="1:12" x14ac:dyDescent="0.2">
      <c r="A210" s="10">
        <v>17297</v>
      </c>
      <c r="B210" s="11">
        <v>42213</v>
      </c>
      <c r="C210" s="12">
        <v>186.19</v>
      </c>
      <c r="D210" s="12">
        <v>14.19</v>
      </c>
      <c r="E210" s="15"/>
      <c r="F210" s="21"/>
      <c r="G210" s="22"/>
      <c r="H210" s="118"/>
      <c r="I210" s="118"/>
      <c r="J210" s="98"/>
      <c r="K210" s="120"/>
      <c r="L210" s="98"/>
    </row>
    <row r="211" spans="1:12" x14ac:dyDescent="0.2">
      <c r="A211" s="10">
        <v>17298</v>
      </c>
      <c r="B211" s="11">
        <v>42213</v>
      </c>
      <c r="C211" s="12">
        <v>110.00000000000001</v>
      </c>
      <c r="D211" s="12">
        <v>8.39</v>
      </c>
      <c r="E211" s="13" t="s">
        <v>424</v>
      </c>
      <c r="H211" s="121"/>
      <c r="I211" s="118"/>
      <c r="J211" s="98"/>
      <c r="K211" s="120"/>
      <c r="L211" s="98"/>
    </row>
    <row r="212" spans="1:12" x14ac:dyDescent="0.2">
      <c r="A212" s="10">
        <v>17299</v>
      </c>
      <c r="B212" s="11">
        <v>42213</v>
      </c>
      <c r="C212" s="12">
        <v>64.95</v>
      </c>
      <c r="D212" s="12">
        <v>4.95</v>
      </c>
      <c r="E212" s="13" t="s">
        <v>224</v>
      </c>
      <c r="H212" s="121"/>
      <c r="I212" s="118"/>
      <c r="J212" s="98"/>
      <c r="K212" s="120"/>
      <c r="L212" s="98"/>
    </row>
    <row r="213" spans="1:12" x14ac:dyDescent="0.2">
      <c r="A213" s="10">
        <v>17300</v>
      </c>
      <c r="B213" s="11">
        <v>42213</v>
      </c>
      <c r="C213" s="12">
        <v>214.88</v>
      </c>
      <c r="D213" s="12">
        <v>16.38</v>
      </c>
      <c r="E213" s="15"/>
      <c r="H213" s="118"/>
      <c r="I213" s="118"/>
      <c r="J213" s="98"/>
      <c r="K213" s="120"/>
      <c r="L213" s="98"/>
    </row>
    <row r="214" spans="1:12" x14ac:dyDescent="0.2">
      <c r="A214" s="10">
        <v>17301</v>
      </c>
      <c r="B214" s="11">
        <v>42213</v>
      </c>
      <c r="C214" s="12">
        <v>32.479999999999997</v>
      </c>
      <c r="D214" s="12">
        <v>2.48</v>
      </c>
      <c r="E214" s="17"/>
      <c r="F214" s="18"/>
      <c r="G214" s="19"/>
      <c r="H214" s="121"/>
      <c r="I214" s="118"/>
      <c r="J214" s="98"/>
      <c r="K214" s="120"/>
      <c r="L214" s="98"/>
    </row>
    <row r="215" spans="1:12" x14ac:dyDescent="0.2">
      <c r="A215" s="10">
        <v>17302</v>
      </c>
      <c r="B215" s="11">
        <v>42213</v>
      </c>
      <c r="C215" s="12">
        <v>16.239999999999998</v>
      </c>
      <c r="D215" s="12">
        <v>1.24</v>
      </c>
      <c r="E215" s="17"/>
      <c r="H215" s="121"/>
      <c r="I215" s="118"/>
      <c r="J215" s="98"/>
      <c r="K215" s="120"/>
      <c r="L215" s="98"/>
    </row>
    <row r="216" spans="1:12" x14ac:dyDescent="0.2">
      <c r="A216" s="10">
        <v>17303</v>
      </c>
      <c r="B216" s="11">
        <v>42213</v>
      </c>
      <c r="C216" s="12">
        <v>29.23</v>
      </c>
      <c r="D216" s="12">
        <v>2.23</v>
      </c>
      <c r="E216" s="15" t="s">
        <v>11</v>
      </c>
      <c r="F216" s="34">
        <f>+C205+244+C209+138.86+C216+C206</f>
        <v>770.40000000000009</v>
      </c>
      <c r="G216" s="34">
        <v>760.5</v>
      </c>
      <c r="H216" s="118"/>
      <c r="I216" s="140"/>
      <c r="J216" s="98"/>
      <c r="K216" s="120"/>
      <c r="L216" s="98"/>
    </row>
    <row r="217" spans="1:12" x14ac:dyDescent="0.2">
      <c r="A217" s="10">
        <v>17304</v>
      </c>
      <c r="B217" s="11">
        <v>42214</v>
      </c>
      <c r="C217" s="12">
        <v>42.22</v>
      </c>
      <c r="D217" s="12">
        <v>3.22</v>
      </c>
      <c r="E217" s="17"/>
      <c r="F217" s="18"/>
      <c r="G217" s="19"/>
      <c r="H217" s="121"/>
      <c r="I217" s="140"/>
      <c r="J217" s="98"/>
      <c r="K217" s="120"/>
      <c r="L217" s="98"/>
    </row>
    <row r="218" spans="1:12" x14ac:dyDescent="0.2">
      <c r="A218" s="10">
        <v>17305</v>
      </c>
      <c r="B218" s="11">
        <v>42214</v>
      </c>
      <c r="C218" s="12">
        <v>101.76</v>
      </c>
      <c r="D218" s="12">
        <v>7.76</v>
      </c>
      <c r="E218" s="15" t="s">
        <v>425</v>
      </c>
      <c r="H218" s="118"/>
      <c r="I218" s="118"/>
      <c r="J218" s="98"/>
      <c r="K218" s="120"/>
      <c r="L218" s="98"/>
    </row>
    <row r="219" spans="1:12" x14ac:dyDescent="0.2">
      <c r="A219" s="10">
        <v>17306</v>
      </c>
      <c r="B219" s="11">
        <v>42214</v>
      </c>
      <c r="C219" s="12">
        <v>12.94</v>
      </c>
      <c r="D219" s="12">
        <v>0.99</v>
      </c>
      <c r="E219" s="17"/>
      <c r="H219" s="121"/>
      <c r="I219" s="118"/>
      <c r="J219" s="98"/>
      <c r="K219" s="120"/>
      <c r="L219" s="98"/>
    </row>
    <row r="220" spans="1:12" x14ac:dyDescent="0.2">
      <c r="A220" s="10">
        <v>17307</v>
      </c>
      <c r="B220" s="11">
        <v>42214</v>
      </c>
      <c r="C220" s="12">
        <v>8</v>
      </c>
      <c r="D220" s="12">
        <v>0.6</v>
      </c>
      <c r="E220" s="17"/>
      <c r="H220" s="121"/>
      <c r="I220" s="118"/>
      <c r="J220" s="98"/>
      <c r="K220" s="120"/>
      <c r="L220" s="98"/>
    </row>
    <row r="221" spans="1:12" x14ac:dyDescent="0.2">
      <c r="A221" s="10">
        <v>17308</v>
      </c>
      <c r="B221" s="11">
        <v>42214</v>
      </c>
      <c r="C221" s="12">
        <v>60.310000000000009</v>
      </c>
      <c r="D221" s="12">
        <v>4.5999999999999996</v>
      </c>
      <c r="E221" s="15" t="s">
        <v>11</v>
      </c>
      <c r="H221" s="118"/>
      <c r="I221" s="118"/>
      <c r="J221" s="98"/>
      <c r="K221" s="120"/>
      <c r="L221" s="98"/>
    </row>
    <row r="222" spans="1:12" x14ac:dyDescent="0.2">
      <c r="A222" s="10">
        <v>17309</v>
      </c>
      <c r="B222" s="11">
        <v>42214</v>
      </c>
      <c r="C222" s="12"/>
      <c r="D222" s="12"/>
      <c r="E222" s="15" t="s">
        <v>426</v>
      </c>
      <c r="H222" s="118"/>
      <c r="I222" s="118"/>
      <c r="J222" s="98"/>
      <c r="K222" s="120"/>
      <c r="L222" s="98"/>
    </row>
    <row r="223" spans="1:12" x14ac:dyDescent="0.2">
      <c r="A223" s="10">
        <v>17310</v>
      </c>
      <c r="B223" s="11">
        <v>42214</v>
      </c>
      <c r="C223" s="12">
        <v>62.680000000000007</v>
      </c>
      <c r="D223" s="12">
        <v>4.78</v>
      </c>
      <c r="E223" s="15" t="s">
        <v>7</v>
      </c>
      <c r="H223" s="118"/>
      <c r="I223" s="118"/>
      <c r="J223" s="98"/>
      <c r="K223" s="120"/>
      <c r="L223" s="98"/>
    </row>
    <row r="224" spans="1:12" x14ac:dyDescent="0.2">
      <c r="A224" s="10">
        <v>17311</v>
      </c>
      <c r="B224" s="11">
        <v>42214</v>
      </c>
      <c r="C224" s="12">
        <v>60</v>
      </c>
      <c r="D224" s="12"/>
      <c r="E224" s="15" t="s">
        <v>16</v>
      </c>
      <c r="F224" s="34">
        <f>+C221+C223+100</f>
        <v>222.99</v>
      </c>
      <c r="G224" s="34">
        <v>218.64</v>
      </c>
      <c r="H224" s="118"/>
      <c r="I224" s="118"/>
      <c r="J224" s="98"/>
      <c r="K224" s="120"/>
      <c r="L224" s="98"/>
    </row>
    <row r="225" spans="1:12" x14ac:dyDescent="0.2">
      <c r="A225" s="10">
        <v>17312</v>
      </c>
      <c r="B225" s="11">
        <v>42215</v>
      </c>
      <c r="C225" s="12">
        <v>64.95</v>
      </c>
      <c r="D225" s="12">
        <v>4.95</v>
      </c>
      <c r="E225" s="15"/>
      <c r="F225" s="21"/>
      <c r="G225" s="22"/>
      <c r="H225" s="118"/>
      <c r="I225" s="118"/>
      <c r="J225" s="98"/>
      <c r="K225" s="120"/>
      <c r="L225" s="98"/>
    </row>
    <row r="226" spans="1:12" x14ac:dyDescent="0.2">
      <c r="A226" s="10">
        <v>17313</v>
      </c>
      <c r="B226" s="11">
        <v>42215</v>
      </c>
      <c r="C226" s="12">
        <v>424.83</v>
      </c>
      <c r="D226" s="12">
        <v>32.380000000000003</v>
      </c>
      <c r="E226" s="15" t="s">
        <v>11</v>
      </c>
      <c r="F226" s="21"/>
      <c r="G226" s="22"/>
      <c r="H226" s="118"/>
      <c r="I226" s="118"/>
      <c r="J226" s="98"/>
      <c r="K226" s="120"/>
      <c r="L226" s="98"/>
    </row>
    <row r="227" spans="1:12" x14ac:dyDescent="0.2">
      <c r="A227" s="10">
        <v>17314</v>
      </c>
      <c r="B227" s="11">
        <v>42215</v>
      </c>
      <c r="C227" s="12">
        <v>14.44</v>
      </c>
      <c r="D227" s="12"/>
      <c r="E227" s="15" t="s">
        <v>11</v>
      </c>
      <c r="H227" s="118"/>
      <c r="I227" s="118"/>
      <c r="J227" s="98"/>
      <c r="K227" s="120"/>
      <c r="L227" s="98"/>
    </row>
    <row r="228" spans="1:12" x14ac:dyDescent="0.2">
      <c r="A228" s="10">
        <v>17315</v>
      </c>
      <c r="B228" s="11">
        <v>42215</v>
      </c>
      <c r="C228" s="12">
        <v>138</v>
      </c>
      <c r="D228" s="12">
        <v>10.52</v>
      </c>
      <c r="E228" s="15" t="s">
        <v>11</v>
      </c>
      <c r="H228" s="118"/>
      <c r="I228" s="118"/>
      <c r="J228" s="98"/>
      <c r="K228" s="120"/>
      <c r="L228" s="98"/>
    </row>
    <row r="229" spans="1:12" x14ac:dyDescent="0.2">
      <c r="A229" s="10">
        <v>17316</v>
      </c>
      <c r="B229" s="11">
        <v>42215</v>
      </c>
      <c r="C229" s="12">
        <v>10.83</v>
      </c>
      <c r="D229" s="12">
        <v>0.83</v>
      </c>
      <c r="E229" s="15" t="s">
        <v>11</v>
      </c>
      <c r="H229" s="118"/>
      <c r="I229" s="118"/>
      <c r="J229" s="98"/>
      <c r="K229" s="120"/>
      <c r="L229" s="98"/>
    </row>
    <row r="230" spans="1:12" x14ac:dyDescent="0.2">
      <c r="A230" s="10">
        <v>17317</v>
      </c>
      <c r="B230" s="11">
        <v>42215</v>
      </c>
      <c r="C230" s="12">
        <v>10</v>
      </c>
      <c r="D230" s="12"/>
      <c r="E230" s="13" t="s">
        <v>427</v>
      </c>
      <c r="H230" s="121"/>
      <c r="I230" s="118"/>
      <c r="J230" s="98"/>
      <c r="K230" s="120"/>
      <c r="L230" s="98"/>
    </row>
    <row r="231" spans="1:12" x14ac:dyDescent="0.2">
      <c r="A231" s="10">
        <v>17318</v>
      </c>
      <c r="B231" s="11">
        <v>42215</v>
      </c>
      <c r="C231" s="12">
        <v>106.39000000000001</v>
      </c>
      <c r="D231" s="12">
        <v>8.11</v>
      </c>
      <c r="E231" s="15" t="s">
        <v>21</v>
      </c>
      <c r="F231" s="21"/>
      <c r="G231" s="22"/>
      <c r="H231" s="118"/>
      <c r="I231" s="118"/>
      <c r="J231" s="98"/>
      <c r="K231" s="120"/>
      <c r="L231" s="98"/>
    </row>
    <row r="232" spans="1:12" x14ac:dyDescent="0.2">
      <c r="A232" s="10">
        <v>17319</v>
      </c>
      <c r="B232" s="11">
        <v>42215</v>
      </c>
      <c r="C232" s="12">
        <v>48.44</v>
      </c>
      <c r="D232" s="12">
        <v>3.69</v>
      </c>
      <c r="E232" s="15" t="s">
        <v>11</v>
      </c>
      <c r="H232" s="118"/>
      <c r="I232" s="118"/>
      <c r="J232" s="98"/>
      <c r="K232" s="120"/>
      <c r="L232" s="98"/>
    </row>
    <row r="233" spans="1:12" x14ac:dyDescent="0.2">
      <c r="A233" s="10">
        <v>17320</v>
      </c>
      <c r="B233" s="11">
        <v>42215</v>
      </c>
      <c r="C233" s="12">
        <v>495.01</v>
      </c>
      <c r="D233" s="12">
        <v>37.729999999999997</v>
      </c>
      <c r="E233" s="15" t="s">
        <v>428</v>
      </c>
      <c r="F233" s="34">
        <f>+C226+C227+C228+C229+245+C232</f>
        <v>881.54</v>
      </c>
      <c r="G233" s="34">
        <v>866.26</v>
      </c>
      <c r="H233" s="118"/>
      <c r="I233" s="118"/>
      <c r="J233" s="98"/>
      <c r="K233" s="120"/>
      <c r="L233" s="98"/>
    </row>
    <row r="234" spans="1:12" x14ac:dyDescent="0.2">
      <c r="A234" s="10">
        <v>17321</v>
      </c>
      <c r="B234" s="11">
        <v>42216</v>
      </c>
      <c r="C234" s="12">
        <v>218.12</v>
      </c>
      <c r="D234" s="12">
        <v>16.62</v>
      </c>
      <c r="E234" s="15" t="s">
        <v>11</v>
      </c>
      <c r="F234" s="21"/>
      <c r="G234" s="22"/>
      <c r="H234" s="118"/>
      <c r="I234" s="118"/>
      <c r="J234" s="98"/>
      <c r="K234" s="120"/>
      <c r="L234" s="98"/>
    </row>
    <row r="235" spans="1:12" x14ac:dyDescent="0.2">
      <c r="A235" s="10">
        <v>17322</v>
      </c>
      <c r="B235" s="11">
        <v>42216</v>
      </c>
      <c r="C235" s="12">
        <v>101.76</v>
      </c>
      <c r="D235" s="12">
        <v>7.76</v>
      </c>
      <c r="E235" s="15" t="s">
        <v>11</v>
      </c>
      <c r="H235" s="118"/>
      <c r="I235" s="118"/>
      <c r="J235" s="98"/>
      <c r="K235" s="120"/>
      <c r="L235" s="98"/>
    </row>
    <row r="236" spans="1:12" x14ac:dyDescent="0.2">
      <c r="A236" s="10">
        <v>17323</v>
      </c>
      <c r="B236" s="11">
        <v>42216</v>
      </c>
      <c r="C236" s="12">
        <v>110.00365000000001</v>
      </c>
      <c r="D236" s="12">
        <v>8.3836500000000012</v>
      </c>
      <c r="E236" s="17"/>
      <c r="H236" s="121"/>
      <c r="I236" s="118"/>
      <c r="J236" s="98"/>
      <c r="K236" s="120"/>
      <c r="L236" s="98"/>
    </row>
    <row r="237" spans="1:12" x14ac:dyDescent="0.2">
      <c r="A237" s="10">
        <v>17324</v>
      </c>
      <c r="B237" s="11">
        <v>42216</v>
      </c>
      <c r="C237" s="12">
        <v>118</v>
      </c>
      <c r="D237" s="12">
        <v>8.99</v>
      </c>
      <c r="E237" s="17"/>
      <c r="H237" s="121"/>
      <c r="I237" s="118"/>
      <c r="J237" s="98"/>
      <c r="K237" s="120"/>
      <c r="L237" s="98"/>
    </row>
    <row r="238" spans="1:12" x14ac:dyDescent="0.2">
      <c r="A238" s="10">
        <v>17325</v>
      </c>
      <c r="B238" s="11">
        <v>42216</v>
      </c>
      <c r="C238" s="12">
        <v>29.23</v>
      </c>
      <c r="D238" s="12">
        <v>2.23</v>
      </c>
      <c r="E238" s="15" t="s">
        <v>11</v>
      </c>
      <c r="F238" s="34">
        <f>+C234+C235+C238</f>
        <v>349.11</v>
      </c>
      <c r="G238" s="34">
        <v>344.54</v>
      </c>
      <c r="H238" s="118"/>
      <c r="I238" s="118"/>
      <c r="J238" s="98"/>
      <c r="K238" s="120"/>
      <c r="L238" s="98"/>
    </row>
    <row r="239" spans="1:12" x14ac:dyDescent="0.2">
      <c r="E239" s="26"/>
      <c r="G239" s="98"/>
      <c r="H239" s="10"/>
    </row>
    <row r="240" spans="1:12" x14ac:dyDescent="0.2">
      <c r="E240" s="26"/>
      <c r="G240" s="98"/>
      <c r="H240" s="12"/>
      <c r="I240" s="5"/>
      <c r="J240" s="27"/>
      <c r="K240" s="27"/>
    </row>
    <row r="241" spans="5:11" x14ac:dyDescent="0.2">
      <c r="E241" s="26"/>
      <c r="G241" s="98"/>
      <c r="H241" s="12"/>
      <c r="I241" s="5"/>
      <c r="J241" s="27"/>
      <c r="K241" s="27"/>
    </row>
    <row r="242" spans="5:11" x14ac:dyDescent="0.2">
      <c r="E242" s="26"/>
      <c r="G242" s="98"/>
      <c r="H242" s="10"/>
      <c r="I242" s="5"/>
      <c r="J242" s="27"/>
      <c r="K242" s="27"/>
    </row>
    <row r="243" spans="5:11" x14ac:dyDescent="0.2">
      <c r="E243" s="26"/>
      <c r="G243" s="98"/>
      <c r="H243" s="10"/>
      <c r="I243" s="5"/>
      <c r="J243" s="27"/>
      <c r="K243" s="27"/>
    </row>
    <row r="244" spans="5:11" x14ac:dyDescent="0.2">
      <c r="E244" s="26"/>
      <c r="G244" s="98"/>
      <c r="H244" s="12"/>
      <c r="I244" s="5"/>
      <c r="J244" s="27"/>
    </row>
    <row r="245" spans="5:11" x14ac:dyDescent="0.2">
      <c r="E245" s="26"/>
      <c r="G245" s="98"/>
      <c r="H245" s="12"/>
      <c r="I245" s="5"/>
      <c r="J245" s="27"/>
    </row>
    <row r="246" spans="5:11" x14ac:dyDescent="0.2">
      <c r="E246" s="26"/>
      <c r="G246" s="98"/>
      <c r="H246" s="10"/>
      <c r="I246" s="5"/>
      <c r="J246" s="27"/>
      <c r="K246" s="27"/>
    </row>
    <row r="247" spans="5:11" x14ac:dyDescent="0.2">
      <c r="E247" s="26"/>
      <c r="G247" s="98"/>
      <c r="H247" s="12"/>
      <c r="I247" s="5"/>
      <c r="J247" s="27"/>
      <c r="K247" s="27"/>
    </row>
    <row r="248" spans="5:11" x14ac:dyDescent="0.2">
      <c r="E248" s="26"/>
      <c r="G248" s="98"/>
      <c r="H248" s="12"/>
      <c r="I248" s="5"/>
      <c r="J248" s="27"/>
      <c r="K248" s="27"/>
    </row>
    <row r="249" spans="5:11" x14ac:dyDescent="0.2">
      <c r="E249" s="26"/>
      <c r="G249" s="98"/>
      <c r="H249" s="12"/>
      <c r="I249" s="5"/>
      <c r="J249" s="27"/>
      <c r="K249" s="27"/>
    </row>
    <row r="250" spans="5:11" x14ac:dyDescent="0.2">
      <c r="E250" s="26"/>
      <c r="G250" s="98"/>
      <c r="H250" s="12"/>
      <c r="I250" s="5"/>
      <c r="J250" s="27"/>
      <c r="K250" s="27"/>
    </row>
    <row r="251" spans="5:11" x14ac:dyDescent="0.2">
      <c r="E251" s="26"/>
      <c r="G251" s="98"/>
      <c r="H251" s="12"/>
      <c r="I251" s="5"/>
      <c r="J251" s="27"/>
      <c r="K251" s="27"/>
    </row>
    <row r="252" spans="5:11" x14ac:dyDescent="0.2">
      <c r="E252" s="26"/>
      <c r="G252" s="98"/>
      <c r="H252" s="121"/>
      <c r="I252" s="5"/>
      <c r="J252" s="27"/>
      <c r="K252" s="27"/>
    </row>
    <row r="253" spans="5:11" x14ac:dyDescent="0.2">
      <c r="E253" s="26"/>
      <c r="G253" s="98"/>
      <c r="H253" s="122"/>
      <c r="I253" s="5"/>
      <c r="J253" s="27"/>
      <c r="K253" s="27"/>
    </row>
    <row r="254" spans="5:11" x14ac:dyDescent="0.2">
      <c r="E254" s="26"/>
      <c r="G254" s="98"/>
      <c r="H254" s="122"/>
    </row>
    <row r="255" spans="5:11" x14ac:dyDescent="0.2">
      <c r="E255" s="26"/>
      <c r="G255" s="98"/>
      <c r="H255" s="122"/>
    </row>
    <row r="256" spans="5:11" x14ac:dyDescent="0.2">
      <c r="E256" s="26"/>
      <c r="G256" s="98"/>
    </row>
    <row r="257" spans="5:11" x14ac:dyDescent="0.2">
      <c r="E257" s="26"/>
      <c r="G257" s="98"/>
    </row>
    <row r="258" spans="5:11" x14ac:dyDescent="0.2">
      <c r="E258" s="26"/>
      <c r="G258" s="98"/>
    </row>
    <row r="259" spans="5:11" x14ac:dyDescent="0.2">
      <c r="E259" s="26"/>
      <c r="G259" s="98"/>
    </row>
    <row r="260" spans="5:11" x14ac:dyDescent="0.2">
      <c r="E260" s="26"/>
      <c r="G260" s="98"/>
      <c r="H260" s="122"/>
      <c r="I260" s="98"/>
      <c r="J260" s="98"/>
      <c r="K260" s="98"/>
    </row>
    <row r="261" spans="5:11" x14ac:dyDescent="0.2">
      <c r="E261" s="26"/>
      <c r="G261" s="98"/>
      <c r="H261" s="122"/>
      <c r="I261" s="98"/>
      <c r="J261" s="98"/>
      <c r="K261" s="98"/>
    </row>
    <row r="262" spans="5:11" x14ac:dyDescent="0.2">
      <c r="E262" s="26"/>
    </row>
    <row r="263" spans="5:11" x14ac:dyDescent="0.2">
      <c r="E263" s="26"/>
    </row>
    <row r="264" spans="5:11" x14ac:dyDescent="0.2">
      <c r="E264" s="26"/>
    </row>
    <row r="265" spans="5:11" x14ac:dyDescent="0.2">
      <c r="E265" s="26"/>
    </row>
    <row r="266" spans="5:11" x14ac:dyDescent="0.2">
      <c r="E266" s="26"/>
    </row>
    <row r="267" spans="5:11" x14ac:dyDescent="0.2">
      <c r="E267" s="26"/>
    </row>
    <row r="268" spans="5:11" x14ac:dyDescent="0.2">
      <c r="E268" s="26"/>
    </row>
    <row r="269" spans="5:11" x14ac:dyDescent="0.2">
      <c r="E269" s="26"/>
    </row>
    <row r="270" spans="5:11" x14ac:dyDescent="0.2">
      <c r="E270" s="26"/>
    </row>
    <row r="271" spans="5:11" x14ac:dyDescent="0.2">
      <c r="E271" s="26"/>
    </row>
    <row r="272" spans="5:11" x14ac:dyDescent="0.2">
      <c r="E272" s="26"/>
    </row>
    <row r="273" spans="1:10" x14ac:dyDescent="0.2">
      <c r="E273" s="26"/>
    </row>
    <row r="274" spans="1:10" x14ac:dyDescent="0.2">
      <c r="E274" s="26"/>
    </row>
    <row r="275" spans="1:10" x14ac:dyDescent="0.2">
      <c r="E275" s="26"/>
    </row>
    <row r="276" spans="1:10" s="29" customFormat="1" x14ac:dyDescent="0.2">
      <c r="A276" s="4"/>
      <c r="B276" s="11"/>
      <c r="C276" s="25"/>
      <c r="D276" s="4"/>
      <c r="E276" s="26"/>
      <c r="F276" s="4"/>
      <c r="G276" s="4"/>
      <c r="H276" s="25"/>
      <c r="I276" s="4"/>
      <c r="J276" s="4"/>
    </row>
    <row r="277" spans="1:10" s="29" customFormat="1" x14ac:dyDescent="0.2">
      <c r="A277" s="4"/>
      <c r="B277" s="11"/>
      <c r="C277" s="25"/>
      <c r="D277" s="4"/>
      <c r="E277" s="26"/>
      <c r="F277" s="4"/>
      <c r="G277" s="4"/>
      <c r="H277" s="25"/>
      <c r="I277" s="4"/>
      <c r="J277" s="4"/>
    </row>
    <row r="278" spans="1:10" x14ac:dyDescent="0.2">
      <c r="A278" s="29"/>
      <c r="B278" s="30"/>
      <c r="C278" s="31"/>
      <c r="D278" s="29"/>
      <c r="E278" s="32"/>
      <c r="F278" s="29"/>
      <c r="G278" s="29"/>
      <c r="H278" s="31"/>
      <c r="I278" s="29"/>
      <c r="J278" s="29"/>
    </row>
    <row r="279" spans="1:10" x14ac:dyDescent="0.2">
      <c r="A279" s="29"/>
      <c r="B279" s="30"/>
      <c r="C279" s="31"/>
      <c r="D279" s="29"/>
      <c r="E279" s="32"/>
      <c r="F279" s="29"/>
      <c r="G279" s="29"/>
      <c r="H279" s="31"/>
      <c r="I279" s="29"/>
      <c r="J279" s="29"/>
    </row>
    <row r="280" spans="1:10" x14ac:dyDescent="0.2">
      <c r="E280" s="26"/>
    </row>
    <row r="281" spans="1:10" x14ac:dyDescent="0.2">
      <c r="E281" s="26"/>
    </row>
    <row r="282" spans="1:10" x14ac:dyDescent="0.2">
      <c r="E282" s="26"/>
    </row>
    <row r="283" spans="1:10" x14ac:dyDescent="0.2">
      <c r="E283" s="26"/>
    </row>
    <row r="284" spans="1:10" x14ac:dyDescent="0.2">
      <c r="E284" s="26"/>
    </row>
    <row r="285" spans="1:10" x14ac:dyDescent="0.2">
      <c r="E285" s="26"/>
    </row>
    <row r="286" spans="1:10" x14ac:dyDescent="0.2">
      <c r="E286" s="26"/>
    </row>
    <row r="287" spans="1:10" x14ac:dyDescent="0.2">
      <c r="E287" s="26"/>
    </row>
    <row r="288" spans="1:10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3309"/>
  <sheetViews>
    <sheetView topLeftCell="A248" workbookViewId="0">
      <selection activeCell="A293" sqref="A293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9" width="8.42578125" style="4" bestFit="1" customWidth="1"/>
    <col min="10" max="16384" width="9.140625" style="4"/>
  </cols>
  <sheetData>
    <row r="1" spans="1:10" x14ac:dyDescent="0.2">
      <c r="A1" s="1" t="s">
        <v>0</v>
      </c>
      <c r="B1" s="2"/>
      <c r="C1" s="3">
        <f>SUM(C3:C491)</f>
        <v>24655.896825000014</v>
      </c>
      <c r="D1" s="3">
        <f>SUM(D294:D491)</f>
        <v>0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16799</v>
      </c>
      <c r="B3" s="11">
        <v>42156</v>
      </c>
      <c r="C3" s="12">
        <v>30</v>
      </c>
      <c r="D3" s="12">
        <v>2.29</v>
      </c>
      <c r="E3" s="15" t="s">
        <v>11</v>
      </c>
      <c r="F3" s="10"/>
      <c r="G3" s="10"/>
      <c r="H3" s="10"/>
      <c r="I3" s="10"/>
    </row>
    <row r="4" spans="1:10" x14ac:dyDescent="0.2">
      <c r="A4" s="10">
        <v>16800</v>
      </c>
      <c r="B4" s="11">
        <v>42156</v>
      </c>
      <c r="C4" s="12">
        <v>11.8</v>
      </c>
      <c r="D4" s="12">
        <v>0.9</v>
      </c>
      <c r="E4" s="13"/>
      <c r="F4" s="12"/>
      <c r="G4" s="12"/>
      <c r="H4" s="12"/>
      <c r="I4" s="10"/>
    </row>
    <row r="5" spans="1:10" x14ac:dyDescent="0.2">
      <c r="A5" s="10">
        <v>16801</v>
      </c>
      <c r="B5" s="11">
        <v>42156</v>
      </c>
      <c r="C5" s="12">
        <v>20.509999999999998</v>
      </c>
      <c r="D5" s="12">
        <v>1.56</v>
      </c>
      <c r="E5" s="15" t="s">
        <v>11</v>
      </c>
      <c r="H5" s="10"/>
      <c r="I5" s="10"/>
    </row>
    <row r="6" spans="1:10" x14ac:dyDescent="0.2">
      <c r="A6" s="10">
        <v>16802</v>
      </c>
      <c r="B6" s="11">
        <v>42156</v>
      </c>
      <c r="C6" s="12">
        <v>-81.13</v>
      </c>
      <c r="D6" s="12">
        <v>-6.18</v>
      </c>
      <c r="E6" s="15" t="s">
        <v>11</v>
      </c>
      <c r="H6" s="10"/>
      <c r="I6" s="10"/>
    </row>
    <row r="7" spans="1:10" x14ac:dyDescent="0.2">
      <c r="A7" s="10">
        <v>16803</v>
      </c>
      <c r="B7" s="11">
        <v>42156</v>
      </c>
      <c r="C7" s="12">
        <v>111.5</v>
      </c>
      <c r="D7" s="12">
        <v>8.5</v>
      </c>
      <c r="E7" s="15" t="s">
        <v>11</v>
      </c>
      <c r="H7" s="10"/>
      <c r="I7" s="10"/>
    </row>
    <row r="8" spans="1:10" x14ac:dyDescent="0.2">
      <c r="A8" s="10">
        <v>16804</v>
      </c>
      <c r="B8" s="11">
        <v>42156</v>
      </c>
      <c r="C8" s="12">
        <v>97.43</v>
      </c>
      <c r="D8" s="12">
        <v>7.43</v>
      </c>
      <c r="E8" s="15" t="s">
        <v>11</v>
      </c>
      <c r="H8" s="10"/>
      <c r="I8" s="10"/>
    </row>
    <row r="9" spans="1:10" x14ac:dyDescent="0.2">
      <c r="A9" s="10">
        <v>16805</v>
      </c>
      <c r="B9" s="11">
        <v>42156</v>
      </c>
      <c r="C9" s="12">
        <v>10.5</v>
      </c>
      <c r="D9" s="12"/>
      <c r="E9" s="13" t="s">
        <v>77</v>
      </c>
      <c r="H9" s="12"/>
      <c r="I9" s="10"/>
    </row>
    <row r="10" spans="1:10" x14ac:dyDescent="0.2">
      <c r="A10" s="10">
        <v>16806</v>
      </c>
      <c r="B10" s="11">
        <v>42156</v>
      </c>
      <c r="C10" s="12">
        <v>33.56</v>
      </c>
      <c r="D10" s="12">
        <v>2.56</v>
      </c>
      <c r="E10" s="15" t="s">
        <v>11</v>
      </c>
      <c r="F10" s="33">
        <f>+C3+C5+C6+C7+C10</f>
        <v>114.44</v>
      </c>
      <c r="G10" s="34">
        <v>112.31</v>
      </c>
      <c r="H10" s="10"/>
      <c r="I10" s="10"/>
    </row>
    <row r="11" spans="1:10" x14ac:dyDescent="0.2">
      <c r="A11" s="10">
        <v>16807</v>
      </c>
      <c r="B11" s="11">
        <v>42157</v>
      </c>
      <c r="C11" s="12">
        <v>25.98</v>
      </c>
      <c r="D11" s="12">
        <v>1.98</v>
      </c>
      <c r="E11" s="17"/>
      <c r="H11" s="12"/>
      <c r="I11" s="10"/>
    </row>
    <row r="12" spans="1:10" x14ac:dyDescent="0.2">
      <c r="A12" s="10">
        <v>16808</v>
      </c>
      <c r="B12" s="11">
        <v>42157</v>
      </c>
      <c r="C12" s="12">
        <v>15.05</v>
      </c>
      <c r="D12" s="12">
        <v>1.1499999999999999</v>
      </c>
      <c r="E12" s="17"/>
      <c r="H12" s="12"/>
      <c r="I12" s="10"/>
    </row>
    <row r="13" spans="1:10" x14ac:dyDescent="0.2">
      <c r="A13" s="10">
        <v>16809</v>
      </c>
      <c r="B13" s="11">
        <v>42157</v>
      </c>
      <c r="C13" s="12">
        <v>31.61</v>
      </c>
      <c r="D13" s="12">
        <v>2.41</v>
      </c>
      <c r="E13" s="15" t="s">
        <v>7</v>
      </c>
      <c r="F13" s="21"/>
      <c r="G13" s="22"/>
      <c r="H13" s="10"/>
      <c r="I13" s="10"/>
    </row>
    <row r="14" spans="1:10" x14ac:dyDescent="0.2">
      <c r="A14" s="10">
        <v>16810</v>
      </c>
      <c r="B14" s="11">
        <v>42157</v>
      </c>
      <c r="C14" s="12">
        <v>26.47</v>
      </c>
      <c r="D14" s="12">
        <v>2.02</v>
      </c>
      <c r="E14" s="17"/>
      <c r="H14" s="12"/>
      <c r="I14" s="10"/>
    </row>
    <row r="15" spans="1:10" x14ac:dyDescent="0.2">
      <c r="A15" s="10">
        <v>16811</v>
      </c>
      <c r="B15" s="11">
        <v>42157</v>
      </c>
      <c r="C15" s="12">
        <v>250.50132500000004</v>
      </c>
      <c r="D15" s="12">
        <v>19.091325000000001</v>
      </c>
      <c r="E15" s="15" t="s">
        <v>7</v>
      </c>
      <c r="H15" s="10"/>
      <c r="I15" s="10"/>
    </row>
    <row r="16" spans="1:10" x14ac:dyDescent="0.2">
      <c r="A16" s="10">
        <v>16812</v>
      </c>
      <c r="B16" s="11">
        <v>42157</v>
      </c>
      <c r="C16" s="12">
        <v>184</v>
      </c>
      <c r="D16" s="12">
        <v>14.02</v>
      </c>
      <c r="E16" s="17"/>
      <c r="H16" s="12"/>
      <c r="I16" s="10"/>
    </row>
    <row r="17" spans="1:9" x14ac:dyDescent="0.2">
      <c r="A17" s="10">
        <v>16813</v>
      </c>
      <c r="B17" s="11">
        <v>42157</v>
      </c>
      <c r="C17" s="12">
        <v>17.32</v>
      </c>
      <c r="D17" s="12">
        <v>1.32</v>
      </c>
      <c r="E17" s="15" t="s">
        <v>7</v>
      </c>
      <c r="H17" s="10"/>
      <c r="I17" s="10"/>
    </row>
    <row r="18" spans="1:9" x14ac:dyDescent="0.2">
      <c r="A18" s="10">
        <v>16814</v>
      </c>
      <c r="B18" s="11">
        <v>42157</v>
      </c>
      <c r="C18" s="12">
        <v>5.3900000000000006</v>
      </c>
      <c r="D18" s="12">
        <v>0.41</v>
      </c>
      <c r="E18" s="17"/>
      <c r="H18" s="12"/>
      <c r="I18" s="10"/>
    </row>
    <row r="19" spans="1:9" x14ac:dyDescent="0.2">
      <c r="A19" s="10">
        <v>16815</v>
      </c>
      <c r="B19" s="11">
        <v>42157</v>
      </c>
      <c r="C19" s="12">
        <v>483.75</v>
      </c>
      <c r="D19" s="12">
        <v>36.869999999999997</v>
      </c>
      <c r="E19" s="15" t="s">
        <v>7</v>
      </c>
      <c r="H19" s="10"/>
      <c r="I19" s="10"/>
    </row>
    <row r="20" spans="1:9" x14ac:dyDescent="0.2">
      <c r="A20" s="10">
        <v>16816</v>
      </c>
      <c r="B20" s="11">
        <v>42157</v>
      </c>
      <c r="C20" s="12">
        <v>81.19</v>
      </c>
      <c r="D20" s="12">
        <v>6.19</v>
      </c>
      <c r="E20" s="15" t="s">
        <v>7</v>
      </c>
      <c r="H20" s="10"/>
      <c r="I20" s="10"/>
    </row>
    <row r="21" spans="1:9" x14ac:dyDescent="0.2">
      <c r="A21" s="10">
        <v>16817</v>
      </c>
      <c r="B21" s="11">
        <v>42157</v>
      </c>
      <c r="C21" s="12">
        <v>210</v>
      </c>
      <c r="D21" s="12"/>
      <c r="E21" s="15" t="s">
        <v>271</v>
      </c>
      <c r="H21" s="10"/>
      <c r="I21" s="10"/>
    </row>
    <row r="22" spans="1:9" x14ac:dyDescent="0.2">
      <c r="A22" s="10">
        <v>16818</v>
      </c>
      <c r="B22" s="11">
        <v>42157</v>
      </c>
      <c r="C22" s="12">
        <v>62.79</v>
      </c>
      <c r="D22" s="12"/>
      <c r="E22" s="15" t="s">
        <v>7</v>
      </c>
      <c r="F22" s="21"/>
      <c r="G22" s="22"/>
      <c r="H22" s="10"/>
      <c r="I22" s="10"/>
    </row>
    <row r="23" spans="1:9" x14ac:dyDescent="0.2">
      <c r="A23" s="10">
        <v>16819</v>
      </c>
      <c r="B23" s="11">
        <v>42157</v>
      </c>
      <c r="C23" s="12">
        <v>7.31</v>
      </c>
      <c r="D23" s="12"/>
      <c r="E23" s="17"/>
      <c r="H23" s="12"/>
      <c r="I23" s="10"/>
    </row>
    <row r="24" spans="1:9" x14ac:dyDescent="0.2">
      <c r="A24" s="10">
        <v>16820</v>
      </c>
      <c r="B24" s="11">
        <v>42157</v>
      </c>
      <c r="C24" s="12">
        <v>399.44</v>
      </c>
      <c r="D24" s="12">
        <v>30.44</v>
      </c>
      <c r="E24" s="15" t="s">
        <v>11</v>
      </c>
      <c r="F24" s="33">
        <f>+C13+C8+C15+C17+C22+C20+C24+C19</f>
        <v>1424.0313250000002</v>
      </c>
      <c r="G24" s="34">
        <v>1402.17</v>
      </c>
      <c r="H24" s="10"/>
      <c r="I24" s="10"/>
    </row>
    <row r="25" spans="1:9" x14ac:dyDescent="0.2">
      <c r="A25" s="10">
        <v>16821</v>
      </c>
      <c r="B25" s="11">
        <v>42158</v>
      </c>
      <c r="C25" s="12">
        <v>19.7</v>
      </c>
      <c r="D25" s="12">
        <v>1.5</v>
      </c>
      <c r="E25" s="17"/>
      <c r="H25" s="12"/>
      <c r="I25" s="10"/>
    </row>
    <row r="26" spans="1:9" x14ac:dyDescent="0.2">
      <c r="A26" s="10">
        <v>16822</v>
      </c>
      <c r="B26" s="11">
        <v>42158</v>
      </c>
      <c r="C26" s="12">
        <v>60</v>
      </c>
      <c r="D26" s="12">
        <v>4.58</v>
      </c>
      <c r="E26" s="17"/>
      <c r="H26" s="12"/>
      <c r="I26" s="10"/>
    </row>
    <row r="27" spans="1:9" x14ac:dyDescent="0.2">
      <c r="A27" s="10">
        <v>16823</v>
      </c>
      <c r="B27" s="11">
        <v>42158</v>
      </c>
      <c r="C27" s="12">
        <v>5</v>
      </c>
      <c r="D27" s="12">
        <v>0.38</v>
      </c>
      <c r="E27" s="17"/>
      <c r="H27" s="12"/>
      <c r="I27" s="10"/>
    </row>
    <row r="28" spans="1:9" x14ac:dyDescent="0.2">
      <c r="A28" s="10">
        <v>16824</v>
      </c>
      <c r="B28" s="11">
        <v>42158</v>
      </c>
      <c r="C28" s="12">
        <v>85.52</v>
      </c>
      <c r="D28" s="12">
        <v>6.52</v>
      </c>
      <c r="E28" s="15" t="s">
        <v>11</v>
      </c>
      <c r="F28" s="21"/>
      <c r="G28" s="22"/>
      <c r="H28" s="10"/>
      <c r="I28" s="10"/>
    </row>
    <row r="29" spans="1:9" x14ac:dyDescent="0.2">
      <c r="A29" s="10">
        <v>16825</v>
      </c>
      <c r="B29" s="11">
        <v>42158</v>
      </c>
      <c r="C29" s="12">
        <v>2.7</v>
      </c>
      <c r="D29" s="12">
        <v>0.21</v>
      </c>
      <c r="E29" s="13"/>
      <c r="F29" s="18"/>
      <c r="G29" s="19"/>
      <c r="H29" s="12"/>
      <c r="I29" s="10"/>
    </row>
    <row r="30" spans="1:9" x14ac:dyDescent="0.2">
      <c r="A30" s="10">
        <v>16826</v>
      </c>
      <c r="B30" s="11">
        <v>42158</v>
      </c>
      <c r="C30" s="12">
        <v>27.5</v>
      </c>
      <c r="D30" s="12"/>
      <c r="E30" s="13"/>
      <c r="F30" s="18"/>
      <c r="G30" s="19"/>
      <c r="H30" s="12"/>
      <c r="I30" s="10"/>
    </row>
    <row r="31" spans="1:9" x14ac:dyDescent="0.2">
      <c r="A31" s="10">
        <v>16827</v>
      </c>
      <c r="B31" s="11">
        <v>42158</v>
      </c>
      <c r="C31" s="12">
        <v>21.599999999999998</v>
      </c>
      <c r="D31" s="12">
        <v>1.65</v>
      </c>
      <c r="E31" s="13"/>
      <c r="F31" s="18"/>
      <c r="G31" s="19"/>
      <c r="H31" s="12"/>
      <c r="I31" s="10"/>
    </row>
    <row r="32" spans="1:9" x14ac:dyDescent="0.2">
      <c r="A32" s="10">
        <v>16828</v>
      </c>
      <c r="B32" s="11">
        <v>42158</v>
      </c>
      <c r="C32" s="12">
        <v>143</v>
      </c>
      <c r="D32" s="12">
        <v>10.9</v>
      </c>
      <c r="E32" s="13"/>
      <c r="F32" s="18"/>
      <c r="G32" s="19"/>
      <c r="H32" s="12"/>
      <c r="I32" s="10"/>
    </row>
    <row r="33" spans="1:9" x14ac:dyDescent="0.2">
      <c r="A33" s="10">
        <v>16829</v>
      </c>
      <c r="B33" s="11">
        <v>42158</v>
      </c>
      <c r="C33" s="12">
        <v>128.82</v>
      </c>
      <c r="D33" s="12">
        <v>9.82</v>
      </c>
      <c r="E33" s="15" t="s">
        <v>11</v>
      </c>
      <c r="H33" s="10"/>
      <c r="I33" s="10"/>
    </row>
    <row r="34" spans="1:9" x14ac:dyDescent="0.2">
      <c r="A34" s="10">
        <v>16830</v>
      </c>
      <c r="B34" s="11">
        <v>42158</v>
      </c>
      <c r="C34" s="12">
        <v>47.63</v>
      </c>
      <c r="D34" s="12">
        <v>3.63</v>
      </c>
      <c r="E34" s="17"/>
      <c r="H34" s="12"/>
      <c r="I34" s="10"/>
    </row>
    <row r="35" spans="1:9" x14ac:dyDescent="0.2">
      <c r="A35" s="10">
        <v>16831</v>
      </c>
      <c r="B35" s="11">
        <v>42158</v>
      </c>
      <c r="C35" s="12">
        <v>9.74</v>
      </c>
      <c r="D35" s="12">
        <v>0.74</v>
      </c>
      <c r="E35" s="17"/>
      <c r="F35" s="18"/>
      <c r="G35" s="19"/>
      <c r="H35" s="12"/>
      <c r="I35" s="10"/>
    </row>
    <row r="36" spans="1:9" x14ac:dyDescent="0.2">
      <c r="A36" s="10">
        <v>16832</v>
      </c>
      <c r="B36" s="11">
        <v>42158</v>
      </c>
      <c r="C36" s="12">
        <v>26.85</v>
      </c>
      <c r="D36" s="12">
        <v>2.0499999999999998</v>
      </c>
      <c r="E36" s="15" t="s">
        <v>7</v>
      </c>
      <c r="H36" s="10"/>
      <c r="I36" s="10"/>
    </row>
    <row r="37" spans="1:9" x14ac:dyDescent="0.2">
      <c r="A37" s="10">
        <v>16833</v>
      </c>
      <c r="B37" s="11">
        <v>42158</v>
      </c>
      <c r="C37" s="12">
        <v>50.000000000000007</v>
      </c>
      <c r="D37" s="12">
        <v>3.81</v>
      </c>
      <c r="E37" s="15"/>
      <c r="H37" s="10"/>
      <c r="I37" s="10"/>
    </row>
    <row r="38" spans="1:9" x14ac:dyDescent="0.2">
      <c r="A38" s="10">
        <v>16834</v>
      </c>
      <c r="B38" s="11">
        <v>42158</v>
      </c>
      <c r="C38" s="12">
        <v>11</v>
      </c>
      <c r="D38" s="12">
        <v>0.84</v>
      </c>
      <c r="E38" s="17"/>
      <c r="F38" s="18"/>
      <c r="G38" s="19"/>
      <c r="H38" s="12"/>
      <c r="I38" s="10"/>
    </row>
    <row r="39" spans="1:9" x14ac:dyDescent="0.2">
      <c r="A39" s="10">
        <v>16835</v>
      </c>
      <c r="B39" s="11">
        <v>42158</v>
      </c>
      <c r="C39" s="12">
        <v>-31</v>
      </c>
      <c r="D39" s="12"/>
      <c r="E39" s="15" t="s">
        <v>271</v>
      </c>
      <c r="H39" s="10"/>
      <c r="I39" s="10"/>
    </row>
    <row r="40" spans="1:9" x14ac:dyDescent="0.2">
      <c r="A40" s="10">
        <v>16836</v>
      </c>
      <c r="B40" s="11">
        <v>42158</v>
      </c>
      <c r="C40" s="12">
        <v>22.73</v>
      </c>
      <c r="D40" s="12">
        <v>1.73</v>
      </c>
      <c r="E40" s="17"/>
      <c r="H40" s="12"/>
      <c r="I40" s="10"/>
    </row>
    <row r="41" spans="1:9" x14ac:dyDescent="0.2">
      <c r="A41" s="10">
        <v>16837</v>
      </c>
      <c r="B41" s="11">
        <v>42158</v>
      </c>
      <c r="C41" s="12">
        <v>9.74</v>
      </c>
      <c r="D41" s="12">
        <v>0.74</v>
      </c>
      <c r="E41" s="17"/>
      <c r="H41" s="12"/>
      <c r="I41" s="10"/>
    </row>
    <row r="42" spans="1:9" x14ac:dyDescent="0.2">
      <c r="A42" s="10">
        <v>16838</v>
      </c>
      <c r="B42" s="11">
        <v>42158</v>
      </c>
      <c r="C42" s="12">
        <v>63.87</v>
      </c>
      <c r="D42" s="12">
        <v>4.87</v>
      </c>
      <c r="E42" s="15" t="s">
        <v>378</v>
      </c>
      <c r="H42" s="10"/>
      <c r="I42" s="10"/>
    </row>
    <row r="43" spans="1:9" x14ac:dyDescent="0.2">
      <c r="A43" s="10">
        <v>16839</v>
      </c>
      <c r="B43" s="11">
        <v>42158</v>
      </c>
      <c r="C43" s="12">
        <v>356.67</v>
      </c>
      <c r="D43" s="12">
        <v>57.67</v>
      </c>
      <c r="E43" s="15" t="s">
        <v>379</v>
      </c>
      <c r="H43" s="10"/>
      <c r="I43" s="10"/>
    </row>
    <row r="44" spans="1:9" x14ac:dyDescent="0.2">
      <c r="A44" s="10">
        <v>16840</v>
      </c>
      <c r="B44" s="11">
        <v>42158</v>
      </c>
      <c r="C44" s="12">
        <v>19.05</v>
      </c>
      <c r="D44" s="12">
        <v>1.45</v>
      </c>
      <c r="E44" s="17"/>
      <c r="H44" s="12"/>
      <c r="I44" s="10"/>
    </row>
    <row r="45" spans="1:9" x14ac:dyDescent="0.2">
      <c r="A45" s="10">
        <v>16841</v>
      </c>
      <c r="B45" s="11">
        <v>42158</v>
      </c>
      <c r="C45" s="12">
        <v>10.72</v>
      </c>
      <c r="D45" s="12">
        <v>0.82</v>
      </c>
      <c r="E45" s="17"/>
      <c r="F45" s="18"/>
      <c r="G45" s="19"/>
      <c r="H45" s="12"/>
      <c r="I45" s="10"/>
    </row>
    <row r="46" spans="1:9" x14ac:dyDescent="0.2">
      <c r="A46" s="10">
        <v>16842</v>
      </c>
      <c r="B46" s="11">
        <v>42158</v>
      </c>
      <c r="C46" s="12">
        <v>16.239999999999998</v>
      </c>
      <c r="D46" s="12">
        <v>1.24</v>
      </c>
      <c r="E46" s="15" t="s">
        <v>7</v>
      </c>
      <c r="F46" s="33">
        <f>+C33+C28+C36+160+C46</f>
        <v>417.42999999999995</v>
      </c>
      <c r="G46" s="34">
        <v>411.06</v>
      </c>
      <c r="H46" s="10"/>
      <c r="I46" s="10"/>
    </row>
    <row r="47" spans="1:9" x14ac:dyDescent="0.2">
      <c r="A47" s="10">
        <v>16843</v>
      </c>
      <c r="B47" s="11">
        <v>42159</v>
      </c>
      <c r="C47" s="12">
        <v>32.479999999999997</v>
      </c>
      <c r="D47" s="12">
        <v>2.48</v>
      </c>
      <c r="E47" s="15" t="s">
        <v>13</v>
      </c>
      <c r="H47" s="10"/>
      <c r="I47" s="10"/>
    </row>
    <row r="48" spans="1:9" x14ac:dyDescent="0.2">
      <c r="A48" s="10">
        <v>16844</v>
      </c>
      <c r="B48" s="11">
        <v>42159</v>
      </c>
      <c r="C48" s="12">
        <v>21.599999999999998</v>
      </c>
      <c r="D48" s="12">
        <v>1.65</v>
      </c>
      <c r="E48" s="17"/>
      <c r="H48" s="12"/>
      <c r="I48" s="10"/>
    </row>
    <row r="49" spans="1:9" x14ac:dyDescent="0.2">
      <c r="A49" s="10">
        <v>16845</v>
      </c>
      <c r="B49" s="11">
        <v>42159</v>
      </c>
      <c r="C49" s="12">
        <v>32.479999999999997</v>
      </c>
      <c r="D49" s="12">
        <v>2.48</v>
      </c>
      <c r="E49" s="17"/>
      <c r="H49" s="12"/>
      <c r="I49" s="10"/>
    </row>
    <row r="50" spans="1:9" x14ac:dyDescent="0.2">
      <c r="A50" s="10">
        <v>16846</v>
      </c>
      <c r="B50" s="11">
        <v>42159</v>
      </c>
      <c r="C50" s="12">
        <v>97.300000000000011</v>
      </c>
      <c r="D50" s="12">
        <v>7.42</v>
      </c>
      <c r="E50" s="15" t="s">
        <v>11</v>
      </c>
      <c r="F50" s="21"/>
      <c r="G50" s="22"/>
      <c r="H50" s="10"/>
      <c r="I50" s="10"/>
    </row>
    <row r="51" spans="1:9" x14ac:dyDescent="0.2">
      <c r="A51" s="10">
        <v>16847</v>
      </c>
      <c r="B51" s="11">
        <v>42159</v>
      </c>
      <c r="C51" s="12">
        <v>40</v>
      </c>
      <c r="D51" s="12">
        <v>3.05</v>
      </c>
      <c r="E51" s="15" t="s">
        <v>11</v>
      </c>
      <c r="F51" s="21"/>
      <c r="G51" s="22"/>
      <c r="H51" s="10"/>
      <c r="I51" s="10"/>
    </row>
    <row r="52" spans="1:9" x14ac:dyDescent="0.2">
      <c r="A52" s="10">
        <v>16848</v>
      </c>
      <c r="B52" s="11">
        <v>42159</v>
      </c>
      <c r="C52" s="12">
        <v>12.94</v>
      </c>
      <c r="D52" s="12">
        <v>0.99</v>
      </c>
      <c r="E52" s="17"/>
      <c r="H52" s="12"/>
      <c r="I52" s="10"/>
    </row>
    <row r="53" spans="1:9" x14ac:dyDescent="0.2">
      <c r="A53" s="10">
        <v>16849</v>
      </c>
      <c r="B53" s="11">
        <v>42159</v>
      </c>
      <c r="C53" s="12">
        <v>54.5</v>
      </c>
      <c r="D53" s="12"/>
      <c r="E53" s="15" t="s">
        <v>380</v>
      </c>
      <c r="H53" s="10"/>
      <c r="I53" s="10"/>
    </row>
    <row r="54" spans="1:9" x14ac:dyDescent="0.2">
      <c r="A54" s="10">
        <v>16850</v>
      </c>
      <c r="B54" s="11">
        <v>42159</v>
      </c>
      <c r="C54" s="12">
        <v>82.27</v>
      </c>
      <c r="D54" s="12">
        <v>6.27</v>
      </c>
      <c r="E54" s="15" t="s">
        <v>11</v>
      </c>
      <c r="F54" s="33">
        <f>+C47+C50+C54</f>
        <v>212.05</v>
      </c>
      <c r="G54" s="34">
        <v>208.51</v>
      </c>
      <c r="H54" s="10"/>
      <c r="I54" s="10"/>
    </row>
    <row r="55" spans="1:9" x14ac:dyDescent="0.2">
      <c r="A55" s="10">
        <v>16851</v>
      </c>
      <c r="B55" s="11">
        <v>42160</v>
      </c>
      <c r="C55" s="12">
        <v>101.76</v>
      </c>
      <c r="D55" s="12">
        <v>7.76</v>
      </c>
      <c r="E55" s="15" t="s">
        <v>11</v>
      </c>
      <c r="F55" s="21"/>
      <c r="G55" s="22"/>
      <c r="H55" s="10"/>
      <c r="I55" s="10"/>
    </row>
    <row r="56" spans="1:9" x14ac:dyDescent="0.2">
      <c r="A56" s="10">
        <v>16852</v>
      </c>
      <c r="B56" s="11">
        <v>42160</v>
      </c>
      <c r="C56" s="12">
        <v>119.08</v>
      </c>
      <c r="D56" s="12">
        <v>9.08</v>
      </c>
      <c r="E56" s="17"/>
      <c r="H56" s="12"/>
      <c r="I56" s="10"/>
    </row>
    <row r="57" spans="1:9" x14ac:dyDescent="0.2">
      <c r="A57" s="10">
        <v>16853</v>
      </c>
      <c r="B57" s="11">
        <v>42160</v>
      </c>
      <c r="C57" s="12">
        <v>73.069999999999993</v>
      </c>
      <c r="D57" s="12">
        <v>5.57</v>
      </c>
      <c r="E57" s="15" t="s">
        <v>11</v>
      </c>
      <c r="F57" s="21"/>
      <c r="G57" s="22"/>
      <c r="H57" s="10"/>
      <c r="I57" s="10"/>
    </row>
    <row r="58" spans="1:9" x14ac:dyDescent="0.2">
      <c r="A58" s="10">
        <v>16854</v>
      </c>
      <c r="B58" s="11">
        <v>42160</v>
      </c>
      <c r="C58" s="12">
        <v>60.62</v>
      </c>
      <c r="D58" s="12">
        <v>4.62</v>
      </c>
      <c r="E58" s="15" t="s">
        <v>11</v>
      </c>
      <c r="H58" s="10"/>
      <c r="I58" s="10"/>
    </row>
    <row r="59" spans="1:9" x14ac:dyDescent="0.2">
      <c r="A59" s="10">
        <v>16855</v>
      </c>
      <c r="B59" s="11">
        <v>42160</v>
      </c>
      <c r="C59" s="12">
        <v>260</v>
      </c>
      <c r="D59" s="12">
        <v>19.82</v>
      </c>
      <c r="E59" s="15"/>
      <c r="H59" s="10"/>
      <c r="I59" s="10"/>
    </row>
    <row r="60" spans="1:9" x14ac:dyDescent="0.2">
      <c r="A60" s="10">
        <v>16856</v>
      </c>
      <c r="B60" s="11">
        <v>42160</v>
      </c>
      <c r="C60" s="12">
        <v>48.71</v>
      </c>
      <c r="D60" s="12">
        <v>3.71</v>
      </c>
      <c r="E60" s="17"/>
      <c r="F60" s="18"/>
      <c r="G60" s="19"/>
      <c r="H60" s="12"/>
      <c r="I60" s="10"/>
    </row>
    <row r="61" spans="1:9" x14ac:dyDescent="0.2">
      <c r="A61" s="10">
        <v>16857</v>
      </c>
      <c r="B61" s="11">
        <v>42160</v>
      </c>
      <c r="C61" s="12">
        <v>164.54</v>
      </c>
      <c r="D61" s="12">
        <v>12.54</v>
      </c>
      <c r="E61" s="17"/>
      <c r="F61" s="33">
        <f>+C55+C57+C58</f>
        <v>235.45</v>
      </c>
      <c r="G61" s="34">
        <v>232.64</v>
      </c>
      <c r="H61" s="12"/>
      <c r="I61" s="10"/>
    </row>
    <row r="62" spans="1:9" x14ac:dyDescent="0.2">
      <c r="A62" s="10">
        <v>16858</v>
      </c>
      <c r="B62" s="11">
        <v>42161</v>
      </c>
      <c r="C62" s="12">
        <v>43.3</v>
      </c>
      <c r="D62" s="12">
        <v>3.3</v>
      </c>
      <c r="E62" s="17"/>
      <c r="H62" s="12"/>
      <c r="I62" s="10"/>
    </row>
    <row r="63" spans="1:9" x14ac:dyDescent="0.2">
      <c r="A63" s="10">
        <v>16859</v>
      </c>
      <c r="B63" s="11">
        <v>42161</v>
      </c>
      <c r="C63" s="12">
        <v>246.27</v>
      </c>
      <c r="D63" s="12">
        <v>18.77</v>
      </c>
      <c r="E63" s="15" t="s">
        <v>381</v>
      </c>
      <c r="H63" s="10"/>
      <c r="I63" s="10"/>
    </row>
    <row r="64" spans="1:9" x14ac:dyDescent="0.2">
      <c r="A64" s="10">
        <v>16860</v>
      </c>
      <c r="B64" s="11">
        <v>42161</v>
      </c>
      <c r="C64" s="12">
        <v>105</v>
      </c>
      <c r="D64" s="12"/>
      <c r="E64" s="13" t="s">
        <v>8</v>
      </c>
      <c r="H64" s="12"/>
      <c r="I64" s="10"/>
    </row>
    <row r="65" spans="1:9" x14ac:dyDescent="0.2">
      <c r="A65" s="10">
        <v>16861</v>
      </c>
      <c r="B65" s="11">
        <v>42161</v>
      </c>
      <c r="C65" s="12">
        <v>130</v>
      </c>
      <c r="D65" s="12"/>
      <c r="E65" s="13" t="s">
        <v>8</v>
      </c>
      <c r="H65" s="12"/>
      <c r="I65" s="10"/>
    </row>
    <row r="66" spans="1:9" x14ac:dyDescent="0.2">
      <c r="A66" s="10">
        <v>16862</v>
      </c>
      <c r="B66" s="11">
        <v>42161</v>
      </c>
      <c r="C66" s="12">
        <v>108.99000000000001</v>
      </c>
      <c r="D66" s="12">
        <v>7.01</v>
      </c>
      <c r="E66" s="15" t="s">
        <v>11</v>
      </c>
      <c r="H66" s="10"/>
      <c r="I66" s="10"/>
    </row>
    <row r="67" spans="1:9" x14ac:dyDescent="0.2">
      <c r="A67" s="10">
        <v>16863</v>
      </c>
      <c r="B67" s="11">
        <v>42161</v>
      </c>
      <c r="C67" s="12">
        <v>48.71</v>
      </c>
      <c r="D67" s="12">
        <v>3.71</v>
      </c>
      <c r="E67" s="15" t="s">
        <v>382</v>
      </c>
      <c r="H67" s="10"/>
      <c r="I67" s="10"/>
    </row>
    <row r="68" spans="1:9" x14ac:dyDescent="0.2">
      <c r="A68" s="10">
        <v>16864</v>
      </c>
      <c r="B68" s="11">
        <v>42161</v>
      </c>
      <c r="C68" s="12">
        <v>8</v>
      </c>
      <c r="D68" s="12">
        <v>0.61</v>
      </c>
      <c r="E68" s="17"/>
      <c r="H68" s="12"/>
      <c r="I68" s="10"/>
    </row>
    <row r="69" spans="1:9" x14ac:dyDescent="0.2">
      <c r="A69" s="10">
        <v>16865</v>
      </c>
      <c r="B69" s="11">
        <v>42161</v>
      </c>
      <c r="C69" s="12">
        <v>105</v>
      </c>
      <c r="D69" s="12">
        <v>8</v>
      </c>
      <c r="E69" s="15" t="s">
        <v>11</v>
      </c>
      <c r="H69" s="10"/>
      <c r="I69" s="10"/>
    </row>
    <row r="70" spans="1:9" x14ac:dyDescent="0.2">
      <c r="A70" s="10">
        <v>16866</v>
      </c>
      <c r="B70" s="11">
        <v>42161</v>
      </c>
      <c r="C70" s="12">
        <v>265</v>
      </c>
      <c r="D70" s="12">
        <v>20.2</v>
      </c>
      <c r="E70" s="17"/>
      <c r="F70" s="18"/>
      <c r="G70" s="19"/>
      <c r="H70" s="12"/>
      <c r="I70" s="10"/>
    </row>
    <row r="71" spans="1:9" x14ac:dyDescent="0.2">
      <c r="A71" s="10">
        <v>16867</v>
      </c>
      <c r="B71" s="11">
        <v>42161</v>
      </c>
      <c r="C71" s="12">
        <v>9.69</v>
      </c>
      <c r="D71" s="12">
        <v>0.74</v>
      </c>
      <c r="E71" s="17"/>
      <c r="F71" s="33">
        <f>146.27+C69</f>
        <v>251.27</v>
      </c>
      <c r="G71" s="34">
        <v>248.8</v>
      </c>
      <c r="H71" s="12"/>
      <c r="I71" s="10"/>
    </row>
    <row r="72" spans="1:9" x14ac:dyDescent="0.2">
      <c r="A72" s="10">
        <v>16868</v>
      </c>
      <c r="B72" s="11">
        <v>42163</v>
      </c>
      <c r="C72" s="12">
        <v>12.99</v>
      </c>
      <c r="D72" s="12">
        <v>0.99</v>
      </c>
      <c r="E72" s="15" t="s">
        <v>11</v>
      </c>
      <c r="H72" s="10"/>
      <c r="I72" s="10"/>
    </row>
    <row r="73" spans="1:9" x14ac:dyDescent="0.2">
      <c r="A73" s="10">
        <v>16869</v>
      </c>
      <c r="B73" s="11">
        <v>42163</v>
      </c>
      <c r="C73" s="12">
        <v>320.95999999999998</v>
      </c>
      <c r="D73" s="12">
        <v>24.46</v>
      </c>
      <c r="E73" s="15" t="s">
        <v>11</v>
      </c>
      <c r="H73" s="10"/>
      <c r="I73" s="10"/>
    </row>
    <row r="74" spans="1:9" x14ac:dyDescent="0.2">
      <c r="A74" s="10">
        <v>16870</v>
      </c>
      <c r="B74" s="11">
        <v>42163</v>
      </c>
      <c r="C74" s="12">
        <v>125</v>
      </c>
      <c r="D74" s="12">
        <v>9.5299999999999994</v>
      </c>
      <c r="E74" s="17"/>
      <c r="H74" s="12"/>
      <c r="I74" s="10"/>
    </row>
    <row r="75" spans="1:9" x14ac:dyDescent="0.2">
      <c r="A75" s="10">
        <v>16871</v>
      </c>
      <c r="B75" s="11">
        <v>42163</v>
      </c>
      <c r="C75" s="12">
        <v>27</v>
      </c>
      <c r="D75" s="12">
        <v>2.06</v>
      </c>
      <c r="E75" s="17"/>
      <c r="H75" s="12"/>
      <c r="I75" s="10"/>
    </row>
    <row r="76" spans="1:9" x14ac:dyDescent="0.2">
      <c r="A76" s="10">
        <v>16872</v>
      </c>
      <c r="B76" s="11">
        <v>42163</v>
      </c>
      <c r="C76" s="12">
        <v>181.86</v>
      </c>
      <c r="D76" s="12">
        <v>13.86</v>
      </c>
      <c r="E76" s="15" t="s">
        <v>11</v>
      </c>
      <c r="H76" s="10"/>
      <c r="I76" s="10"/>
    </row>
    <row r="77" spans="1:9" x14ac:dyDescent="0.2">
      <c r="A77" s="10">
        <v>16873</v>
      </c>
      <c r="B77" s="11">
        <v>42163</v>
      </c>
      <c r="C77" s="12">
        <v>25.98</v>
      </c>
      <c r="D77" s="12">
        <v>1.98</v>
      </c>
      <c r="E77" s="17"/>
      <c r="H77" s="12"/>
      <c r="I77" s="10"/>
    </row>
    <row r="78" spans="1:9" x14ac:dyDescent="0.2">
      <c r="A78" s="10">
        <v>16874</v>
      </c>
      <c r="B78" s="11">
        <v>42163</v>
      </c>
      <c r="C78" s="12">
        <v>0</v>
      </c>
      <c r="D78" s="12">
        <v>0</v>
      </c>
      <c r="E78" s="13" t="s">
        <v>383</v>
      </c>
      <c r="H78" s="12"/>
      <c r="I78" s="10"/>
    </row>
    <row r="79" spans="1:9" x14ac:dyDescent="0.2">
      <c r="A79" s="10">
        <v>16875</v>
      </c>
      <c r="B79" s="11">
        <v>42163</v>
      </c>
      <c r="C79" s="12">
        <v>96.34</v>
      </c>
      <c r="D79" s="12">
        <v>7.34</v>
      </c>
      <c r="E79" s="15" t="s">
        <v>11</v>
      </c>
      <c r="H79" s="10"/>
      <c r="I79" s="10"/>
    </row>
    <row r="80" spans="1:9" x14ac:dyDescent="0.2">
      <c r="A80" s="10">
        <v>16876</v>
      </c>
      <c r="B80" s="11">
        <v>42163</v>
      </c>
      <c r="C80" s="12">
        <v>16.18</v>
      </c>
      <c r="D80" s="12">
        <v>1.23</v>
      </c>
      <c r="E80" s="17"/>
      <c r="F80" s="33">
        <f>+C72+C73+C76+C79</f>
        <v>612.15</v>
      </c>
      <c r="G80" s="34">
        <v>604.4</v>
      </c>
      <c r="H80" s="12"/>
      <c r="I80" s="10"/>
    </row>
    <row r="81" spans="1:9" x14ac:dyDescent="0.2">
      <c r="A81" s="10">
        <v>16877</v>
      </c>
      <c r="B81" s="11">
        <v>42164</v>
      </c>
      <c r="C81" s="12">
        <v>153.16999999999999</v>
      </c>
      <c r="D81" s="12">
        <v>11.67</v>
      </c>
      <c r="E81" s="15" t="s">
        <v>11</v>
      </c>
      <c r="H81" s="10"/>
      <c r="I81" s="10"/>
    </row>
    <row r="82" spans="1:9" x14ac:dyDescent="0.2">
      <c r="A82" s="10">
        <v>16878</v>
      </c>
      <c r="B82" s="11">
        <v>42164</v>
      </c>
      <c r="C82" s="12">
        <v>22</v>
      </c>
      <c r="D82" s="12"/>
      <c r="E82" s="13" t="s">
        <v>98</v>
      </c>
      <c r="F82" s="18"/>
      <c r="G82" s="19"/>
      <c r="H82" s="12"/>
      <c r="I82" s="10"/>
    </row>
    <row r="83" spans="1:9" x14ac:dyDescent="0.2">
      <c r="A83" s="10">
        <v>16879</v>
      </c>
      <c r="B83" s="11">
        <v>42164</v>
      </c>
      <c r="C83" s="12">
        <v>32.42</v>
      </c>
      <c r="D83" s="12">
        <v>2.4700000000000002</v>
      </c>
      <c r="E83" s="17"/>
      <c r="H83" s="12"/>
      <c r="I83" s="10"/>
    </row>
    <row r="84" spans="1:9" x14ac:dyDescent="0.2">
      <c r="A84" s="10">
        <v>16880</v>
      </c>
      <c r="B84" s="11">
        <v>42164</v>
      </c>
      <c r="C84" s="12">
        <v>10.83</v>
      </c>
      <c r="D84" s="12">
        <v>0.83</v>
      </c>
      <c r="E84" s="15" t="s">
        <v>11</v>
      </c>
      <c r="H84" s="10"/>
      <c r="I84" s="10"/>
    </row>
    <row r="85" spans="1:9" x14ac:dyDescent="0.2">
      <c r="A85" s="10">
        <v>16881</v>
      </c>
      <c r="B85" s="11">
        <v>42164</v>
      </c>
      <c r="C85" s="12">
        <v>32.479999999999997</v>
      </c>
      <c r="D85" s="12">
        <v>2.48</v>
      </c>
      <c r="E85" s="15" t="s">
        <v>11</v>
      </c>
      <c r="H85" s="10"/>
      <c r="I85" s="10"/>
    </row>
    <row r="86" spans="1:9" x14ac:dyDescent="0.2">
      <c r="A86" s="10">
        <v>16882</v>
      </c>
      <c r="B86" s="11">
        <v>42164</v>
      </c>
      <c r="C86" s="12">
        <v>543.30999999999995</v>
      </c>
      <c r="D86" s="12">
        <v>41.41</v>
      </c>
      <c r="E86" s="17"/>
      <c r="F86" s="18"/>
      <c r="G86" s="19"/>
      <c r="H86" s="12"/>
      <c r="I86" s="10"/>
    </row>
    <row r="87" spans="1:9" x14ac:dyDescent="0.2">
      <c r="A87" s="10">
        <v>16883</v>
      </c>
      <c r="B87" s="11">
        <v>42164</v>
      </c>
      <c r="C87" s="12">
        <v>283.62</v>
      </c>
      <c r="D87" s="12">
        <v>21.62</v>
      </c>
      <c r="E87" s="17"/>
      <c r="H87" s="12"/>
      <c r="I87" s="10"/>
    </row>
    <row r="88" spans="1:9" x14ac:dyDescent="0.2">
      <c r="A88" s="10">
        <v>16884</v>
      </c>
      <c r="B88" s="11">
        <v>42164</v>
      </c>
      <c r="C88" s="12">
        <v>126.65</v>
      </c>
      <c r="D88" s="12">
        <v>9.65</v>
      </c>
      <c r="E88" s="15" t="s">
        <v>11</v>
      </c>
      <c r="F88" s="21"/>
      <c r="G88" s="22"/>
      <c r="H88" s="10"/>
      <c r="I88" s="10"/>
    </row>
    <row r="89" spans="1:9" x14ac:dyDescent="0.2">
      <c r="A89" s="10">
        <v>16885</v>
      </c>
      <c r="B89" s="11">
        <v>42164</v>
      </c>
      <c r="C89" s="12">
        <v>30.31</v>
      </c>
      <c r="D89" s="12">
        <v>2.31</v>
      </c>
      <c r="E89" s="15" t="s">
        <v>11</v>
      </c>
      <c r="H89" s="10"/>
      <c r="I89" s="10"/>
    </row>
    <row r="90" spans="1:9" x14ac:dyDescent="0.2">
      <c r="A90" s="10">
        <v>16886</v>
      </c>
      <c r="B90" s="11">
        <v>42164</v>
      </c>
      <c r="C90" s="12">
        <v>64.84</v>
      </c>
      <c r="D90" s="12">
        <v>4.9400000000000004</v>
      </c>
      <c r="E90" s="15" t="s">
        <v>11</v>
      </c>
      <c r="H90" s="10"/>
      <c r="I90" s="10"/>
    </row>
    <row r="91" spans="1:9" x14ac:dyDescent="0.2">
      <c r="A91" s="10">
        <v>16887</v>
      </c>
      <c r="B91" s="11">
        <v>42164</v>
      </c>
      <c r="C91" s="12">
        <v>137</v>
      </c>
      <c r="D91" s="12">
        <v>10.44</v>
      </c>
      <c r="E91" s="15"/>
      <c r="H91" s="10"/>
      <c r="I91" s="10"/>
    </row>
    <row r="92" spans="1:9" x14ac:dyDescent="0.2">
      <c r="A92" s="10">
        <v>16888</v>
      </c>
      <c r="B92" s="11">
        <v>42164</v>
      </c>
      <c r="C92" s="12">
        <v>12</v>
      </c>
      <c r="D92" s="12">
        <v>0.91</v>
      </c>
      <c r="E92" s="17"/>
      <c r="F92" s="18"/>
      <c r="G92" s="19"/>
      <c r="H92" s="12"/>
      <c r="I92" s="10"/>
    </row>
    <row r="93" spans="1:9" x14ac:dyDescent="0.2">
      <c r="A93" s="10">
        <v>16889</v>
      </c>
      <c r="B93" s="11">
        <v>42164</v>
      </c>
      <c r="C93" s="12">
        <v>0</v>
      </c>
      <c r="D93" s="12"/>
      <c r="E93" s="13" t="s">
        <v>384</v>
      </c>
      <c r="F93" s="33">
        <f>+C81+C84+C85+C88+C89+C90</f>
        <v>418.28</v>
      </c>
      <c r="G93" s="34">
        <v>411.8</v>
      </c>
      <c r="H93" s="12"/>
      <c r="I93" s="10"/>
    </row>
    <row r="94" spans="1:9" x14ac:dyDescent="0.2">
      <c r="A94" s="10">
        <v>16890</v>
      </c>
      <c r="B94" s="11">
        <v>42165</v>
      </c>
      <c r="C94" s="12">
        <v>13.53</v>
      </c>
      <c r="D94" s="12">
        <v>1.03</v>
      </c>
      <c r="E94" s="17"/>
      <c r="F94" s="18"/>
      <c r="G94" s="19"/>
      <c r="H94" s="12"/>
      <c r="I94" s="10"/>
    </row>
    <row r="95" spans="1:9" x14ac:dyDescent="0.2">
      <c r="A95" s="10">
        <v>16891</v>
      </c>
      <c r="B95" s="11">
        <v>42165</v>
      </c>
      <c r="C95" s="12">
        <v>125</v>
      </c>
      <c r="D95" s="12">
        <v>9.5299999999999994</v>
      </c>
      <c r="E95" s="15" t="s">
        <v>11</v>
      </c>
      <c r="F95" s="21"/>
      <c r="G95" s="22"/>
      <c r="H95" s="10"/>
      <c r="I95" s="10"/>
    </row>
    <row r="96" spans="1:9" x14ac:dyDescent="0.2">
      <c r="A96" s="10">
        <v>16892</v>
      </c>
      <c r="B96" s="11">
        <v>42165</v>
      </c>
      <c r="C96" s="12">
        <v>5</v>
      </c>
      <c r="D96" s="12">
        <v>0.38</v>
      </c>
      <c r="E96" s="15" t="s">
        <v>11</v>
      </c>
      <c r="H96" s="10"/>
      <c r="I96" s="10"/>
    </row>
    <row r="97" spans="1:9" x14ac:dyDescent="0.2">
      <c r="A97" s="10">
        <v>16893</v>
      </c>
      <c r="B97" s="11">
        <v>42165</v>
      </c>
      <c r="C97" s="12">
        <v>120</v>
      </c>
      <c r="D97" s="12">
        <v>9.15</v>
      </c>
      <c r="E97" s="15" t="s">
        <v>11</v>
      </c>
      <c r="F97" s="115"/>
      <c r="G97" s="115"/>
      <c r="H97" s="10"/>
      <c r="I97" s="10"/>
    </row>
    <row r="98" spans="1:9" x14ac:dyDescent="0.2">
      <c r="A98" s="10">
        <v>16894</v>
      </c>
      <c r="B98" s="11">
        <v>42165</v>
      </c>
      <c r="C98" s="12">
        <v>69.23</v>
      </c>
      <c r="D98" s="12">
        <v>5.28</v>
      </c>
      <c r="E98" s="17"/>
      <c r="F98" s="18"/>
      <c r="G98" s="19"/>
      <c r="H98" s="12"/>
      <c r="I98" s="10"/>
    </row>
    <row r="99" spans="1:9" x14ac:dyDescent="0.2">
      <c r="A99" s="10">
        <v>16895</v>
      </c>
      <c r="B99" s="11">
        <v>42165</v>
      </c>
      <c r="C99" s="12">
        <v>34.64</v>
      </c>
      <c r="D99" s="12">
        <v>2.64</v>
      </c>
      <c r="E99" s="17"/>
      <c r="H99" s="12"/>
      <c r="I99" s="10"/>
    </row>
    <row r="100" spans="1:9" x14ac:dyDescent="0.2">
      <c r="A100" s="10">
        <v>16896</v>
      </c>
      <c r="B100" s="11">
        <v>42165</v>
      </c>
      <c r="C100" s="12">
        <v>5</v>
      </c>
      <c r="D100" s="12">
        <v>0.38</v>
      </c>
      <c r="E100" s="17"/>
      <c r="F100" s="18"/>
      <c r="G100" s="19"/>
      <c r="H100" s="12"/>
      <c r="I100" s="10"/>
    </row>
    <row r="101" spans="1:9" x14ac:dyDescent="0.2">
      <c r="A101" s="10">
        <v>16897</v>
      </c>
      <c r="B101" s="11">
        <v>42165</v>
      </c>
      <c r="C101" s="12">
        <v>87.68</v>
      </c>
      <c r="D101" s="12">
        <v>6.68</v>
      </c>
      <c r="E101" s="15" t="s">
        <v>21</v>
      </c>
      <c r="H101" s="10"/>
      <c r="I101" s="10"/>
    </row>
    <row r="102" spans="1:9" x14ac:dyDescent="0.2">
      <c r="A102" s="10">
        <v>16898</v>
      </c>
      <c r="B102" s="11">
        <v>42165</v>
      </c>
      <c r="C102" s="12">
        <v>8.66</v>
      </c>
      <c r="D102" s="12">
        <v>0.66</v>
      </c>
      <c r="E102" s="15" t="s">
        <v>11</v>
      </c>
      <c r="H102" s="10"/>
      <c r="I102" s="10"/>
    </row>
    <row r="103" spans="1:9" x14ac:dyDescent="0.2">
      <c r="A103" s="10">
        <v>16899</v>
      </c>
      <c r="B103" s="11">
        <v>42165</v>
      </c>
      <c r="C103" s="12">
        <v>42</v>
      </c>
      <c r="D103" s="12">
        <v>3.2</v>
      </c>
      <c r="E103" s="17"/>
      <c r="F103" s="18"/>
      <c r="G103" s="19"/>
      <c r="H103" s="12"/>
      <c r="I103" s="10"/>
    </row>
    <row r="104" spans="1:9" x14ac:dyDescent="0.2">
      <c r="A104" s="10">
        <v>16900</v>
      </c>
      <c r="B104" s="11">
        <v>42165</v>
      </c>
      <c r="C104" s="12">
        <v>10.780000000000001</v>
      </c>
      <c r="D104" s="12">
        <v>0.82</v>
      </c>
      <c r="E104" s="17"/>
      <c r="H104" s="12"/>
      <c r="I104" s="10"/>
    </row>
    <row r="105" spans="1:9" x14ac:dyDescent="0.2">
      <c r="A105" s="10">
        <v>16901</v>
      </c>
      <c r="B105" s="11">
        <v>42165</v>
      </c>
      <c r="C105" s="12">
        <v>20</v>
      </c>
      <c r="D105" s="12">
        <v>1.52</v>
      </c>
      <c r="E105" s="17"/>
      <c r="F105" s="33">
        <f>+C95+C96+C97+C102+C66+C51</f>
        <v>407.65000000000003</v>
      </c>
      <c r="G105" s="34">
        <v>402.49</v>
      </c>
      <c r="H105" s="12"/>
      <c r="I105" s="10"/>
    </row>
    <row r="106" spans="1:9" x14ac:dyDescent="0.2">
      <c r="A106" s="10">
        <v>16902</v>
      </c>
      <c r="B106" s="11">
        <v>42166</v>
      </c>
      <c r="C106" s="12">
        <v>21.65</v>
      </c>
      <c r="D106" s="12">
        <v>1.65</v>
      </c>
      <c r="E106" s="17"/>
      <c r="H106" s="12"/>
      <c r="I106" s="10"/>
    </row>
    <row r="107" spans="1:9" x14ac:dyDescent="0.2">
      <c r="A107" s="10">
        <v>16903</v>
      </c>
      <c r="B107" s="11">
        <v>42166</v>
      </c>
      <c r="C107" s="12">
        <v>21.599999999999998</v>
      </c>
      <c r="D107" s="12">
        <v>1.65</v>
      </c>
      <c r="E107" s="17"/>
      <c r="F107" s="18"/>
      <c r="G107" s="19"/>
      <c r="H107" s="12"/>
      <c r="I107" s="10"/>
    </row>
    <row r="108" spans="1:9" x14ac:dyDescent="0.2">
      <c r="A108" s="10">
        <v>16904</v>
      </c>
      <c r="B108" s="11">
        <v>42166</v>
      </c>
      <c r="C108" s="12">
        <v>97.43</v>
      </c>
      <c r="D108" s="12">
        <v>7.43</v>
      </c>
      <c r="E108" s="15" t="s">
        <v>21</v>
      </c>
      <c r="F108" s="21"/>
      <c r="G108" s="22"/>
      <c r="H108" s="10"/>
      <c r="I108" s="10"/>
    </row>
    <row r="109" spans="1:9" x14ac:dyDescent="0.2">
      <c r="A109" s="10">
        <v>16905</v>
      </c>
      <c r="B109" s="11">
        <v>42166</v>
      </c>
      <c r="C109" s="12">
        <v>8.66</v>
      </c>
      <c r="D109" s="12">
        <v>0.66</v>
      </c>
      <c r="E109" s="17"/>
      <c r="H109" s="12"/>
      <c r="I109" s="10"/>
    </row>
    <row r="110" spans="1:9" x14ac:dyDescent="0.2">
      <c r="A110" s="10">
        <v>16906</v>
      </c>
      <c r="B110" s="11">
        <v>42166</v>
      </c>
      <c r="C110" s="12">
        <v>87.999999999999986</v>
      </c>
      <c r="D110" s="12">
        <v>6.71</v>
      </c>
      <c r="E110" s="15" t="s">
        <v>11</v>
      </c>
      <c r="H110" s="10"/>
      <c r="I110" s="10"/>
    </row>
    <row r="111" spans="1:9" x14ac:dyDescent="0.2">
      <c r="A111" s="10">
        <v>16907</v>
      </c>
      <c r="B111" s="11">
        <v>42166</v>
      </c>
      <c r="C111" s="12">
        <v>20.57</v>
      </c>
      <c r="D111" s="12">
        <v>1.57</v>
      </c>
      <c r="E111" s="15" t="s">
        <v>11</v>
      </c>
      <c r="F111" s="21"/>
      <c r="G111" s="22"/>
      <c r="H111" s="10"/>
      <c r="I111" s="10"/>
    </row>
    <row r="112" spans="1:9" x14ac:dyDescent="0.2">
      <c r="A112" s="10">
        <v>16908</v>
      </c>
      <c r="B112" s="11">
        <v>42166</v>
      </c>
      <c r="C112" s="12">
        <v>17.32</v>
      </c>
      <c r="D112" s="12">
        <v>1.32</v>
      </c>
      <c r="E112" s="17"/>
      <c r="H112" s="12"/>
      <c r="I112" s="10"/>
    </row>
    <row r="113" spans="1:9" x14ac:dyDescent="0.2">
      <c r="A113" s="10">
        <v>16909</v>
      </c>
      <c r="B113" s="11">
        <v>42166</v>
      </c>
      <c r="C113" s="12">
        <v>140</v>
      </c>
      <c r="D113" s="12"/>
      <c r="E113" s="15" t="s">
        <v>299</v>
      </c>
      <c r="H113" s="10"/>
      <c r="I113" s="10"/>
    </row>
    <row r="114" spans="1:9" x14ac:dyDescent="0.2">
      <c r="A114" s="10">
        <v>16910</v>
      </c>
      <c r="B114" s="11">
        <v>42166</v>
      </c>
      <c r="C114" s="12">
        <v>45</v>
      </c>
      <c r="D114" s="12">
        <v>3.43</v>
      </c>
      <c r="E114" s="17"/>
      <c r="F114" s="18"/>
      <c r="G114" s="19"/>
      <c r="H114" s="12"/>
      <c r="I114" s="10"/>
    </row>
    <row r="115" spans="1:9" x14ac:dyDescent="0.2">
      <c r="A115" s="10">
        <v>16911</v>
      </c>
      <c r="B115" s="11">
        <v>42166</v>
      </c>
      <c r="C115" s="12">
        <v>32.479999999999997</v>
      </c>
      <c r="D115" s="12">
        <v>2.48</v>
      </c>
      <c r="E115" s="17"/>
      <c r="H115" s="12"/>
      <c r="I115" s="10"/>
    </row>
    <row r="116" spans="1:9" x14ac:dyDescent="0.2">
      <c r="A116" s="10">
        <v>16912</v>
      </c>
      <c r="B116" s="11">
        <v>42166</v>
      </c>
      <c r="C116" s="12">
        <v>168</v>
      </c>
      <c r="D116" s="12">
        <v>12.8</v>
      </c>
      <c r="E116" s="15" t="s">
        <v>7</v>
      </c>
      <c r="F116" s="33">
        <f>+C110+C111+C116</f>
        <v>276.57</v>
      </c>
      <c r="G116" s="34">
        <v>271.47000000000003</v>
      </c>
      <c r="H116" s="10"/>
      <c r="I116" s="10"/>
    </row>
    <row r="117" spans="1:9" x14ac:dyDescent="0.2">
      <c r="A117" s="10">
        <v>16913</v>
      </c>
      <c r="B117" s="11">
        <v>42167</v>
      </c>
      <c r="C117" s="12">
        <v>5.41</v>
      </c>
      <c r="D117" s="12">
        <v>0.41</v>
      </c>
      <c r="E117" s="17"/>
      <c r="F117" s="18"/>
      <c r="G117" s="19"/>
      <c r="H117" s="12"/>
      <c r="I117" s="10"/>
    </row>
    <row r="118" spans="1:9" x14ac:dyDescent="0.2">
      <c r="A118" s="10">
        <v>16914</v>
      </c>
      <c r="B118" s="11">
        <v>42167</v>
      </c>
      <c r="C118" s="12">
        <v>54.13</v>
      </c>
      <c r="D118" s="12">
        <v>4.13</v>
      </c>
      <c r="E118" s="17"/>
      <c r="F118" s="18"/>
      <c r="G118" s="19"/>
      <c r="H118" s="12"/>
      <c r="I118" s="10"/>
    </row>
    <row r="119" spans="1:9" x14ac:dyDescent="0.2">
      <c r="A119" s="10">
        <v>16915</v>
      </c>
      <c r="B119" s="11">
        <v>42167</v>
      </c>
      <c r="C119" s="12">
        <v>83.35</v>
      </c>
      <c r="D119" s="12">
        <v>6.35</v>
      </c>
      <c r="E119" s="15" t="s">
        <v>21</v>
      </c>
      <c r="H119" s="10"/>
      <c r="I119" s="10"/>
    </row>
    <row r="120" spans="1:9" x14ac:dyDescent="0.2">
      <c r="A120" s="10">
        <v>16916</v>
      </c>
      <c r="B120" s="11">
        <v>42167</v>
      </c>
      <c r="C120" s="12">
        <v>1.62</v>
      </c>
      <c r="D120" s="12">
        <v>0.12</v>
      </c>
      <c r="E120" s="17"/>
      <c r="H120" s="12"/>
      <c r="I120" s="10"/>
    </row>
    <row r="121" spans="1:9" x14ac:dyDescent="0.2">
      <c r="A121" s="10">
        <v>16917</v>
      </c>
      <c r="B121" s="11">
        <v>42167</v>
      </c>
      <c r="C121" s="12">
        <v>9.69</v>
      </c>
      <c r="D121" s="12">
        <v>0.74</v>
      </c>
      <c r="E121" s="17"/>
      <c r="H121" s="12"/>
      <c r="I121" s="10"/>
    </row>
    <row r="122" spans="1:9" x14ac:dyDescent="0.2">
      <c r="A122" s="10">
        <v>16918</v>
      </c>
      <c r="B122" s="11">
        <v>42167</v>
      </c>
      <c r="C122" s="12">
        <v>189.98</v>
      </c>
      <c r="D122" s="12">
        <v>14.48</v>
      </c>
      <c r="E122" s="15" t="s">
        <v>11</v>
      </c>
      <c r="H122" s="10"/>
      <c r="I122" s="10"/>
    </row>
    <row r="123" spans="1:9" x14ac:dyDescent="0.2">
      <c r="A123" s="10">
        <v>16919</v>
      </c>
      <c r="B123" s="11">
        <v>42167</v>
      </c>
      <c r="C123" s="12">
        <v>12.99</v>
      </c>
      <c r="D123" s="12">
        <v>0.99</v>
      </c>
      <c r="E123" s="17"/>
      <c r="H123" s="12"/>
      <c r="I123" s="10"/>
    </row>
    <row r="124" spans="1:9" x14ac:dyDescent="0.2">
      <c r="A124" s="10">
        <v>16920</v>
      </c>
      <c r="B124" s="11">
        <v>42167</v>
      </c>
      <c r="C124" s="12">
        <v>75.78</v>
      </c>
      <c r="D124" s="12">
        <v>5.78</v>
      </c>
      <c r="E124" s="15" t="s">
        <v>26</v>
      </c>
      <c r="H124" s="10"/>
      <c r="I124" s="10"/>
    </row>
    <row r="125" spans="1:9" x14ac:dyDescent="0.2">
      <c r="A125" s="10">
        <v>16921</v>
      </c>
      <c r="B125" s="11">
        <v>42167</v>
      </c>
      <c r="C125" s="12">
        <v>453.57</v>
      </c>
      <c r="D125" s="12">
        <v>34.57</v>
      </c>
      <c r="E125" s="15" t="s">
        <v>7</v>
      </c>
      <c r="H125" s="10"/>
      <c r="I125" s="10"/>
    </row>
    <row r="126" spans="1:9" x14ac:dyDescent="0.2">
      <c r="A126" s="10">
        <v>16922</v>
      </c>
      <c r="B126" s="11">
        <v>42167</v>
      </c>
      <c r="C126" s="12">
        <v>213.25</v>
      </c>
      <c r="D126" s="12">
        <v>16.25</v>
      </c>
      <c r="E126" s="15" t="s">
        <v>21</v>
      </c>
      <c r="H126" s="10"/>
      <c r="I126" s="10"/>
    </row>
    <row r="127" spans="1:9" x14ac:dyDescent="0.2">
      <c r="A127" s="10">
        <v>16923</v>
      </c>
      <c r="B127" s="11">
        <v>42167</v>
      </c>
      <c r="C127" s="12">
        <v>40.11</v>
      </c>
      <c r="D127" s="12">
        <v>3.06</v>
      </c>
      <c r="E127" s="15" t="s">
        <v>11</v>
      </c>
      <c r="H127" s="10"/>
      <c r="I127" s="10"/>
    </row>
    <row r="128" spans="1:9" x14ac:dyDescent="0.2">
      <c r="A128" s="10">
        <v>16924</v>
      </c>
      <c r="B128" s="11">
        <v>42167</v>
      </c>
      <c r="C128" s="12">
        <v>16.18</v>
      </c>
      <c r="D128" s="12">
        <v>1.23</v>
      </c>
      <c r="E128" s="15" t="s">
        <v>11</v>
      </c>
      <c r="H128" s="10"/>
      <c r="I128" s="10"/>
    </row>
    <row r="129" spans="1:9" x14ac:dyDescent="0.2">
      <c r="A129" s="10">
        <v>16925</v>
      </c>
      <c r="B129" s="11">
        <v>42167</v>
      </c>
      <c r="C129" s="12">
        <v>53.04</v>
      </c>
      <c r="D129" s="12">
        <v>4.04</v>
      </c>
      <c r="E129" s="17"/>
      <c r="F129" s="33">
        <f>+C122+C125+C127+C128</f>
        <v>699.83999999999992</v>
      </c>
      <c r="G129" s="34">
        <v>695.95</v>
      </c>
      <c r="H129" s="12"/>
      <c r="I129" s="10"/>
    </row>
    <row r="130" spans="1:9" x14ac:dyDescent="0.2">
      <c r="A130" s="10">
        <v>16926</v>
      </c>
      <c r="B130" s="11">
        <v>42168</v>
      </c>
      <c r="C130" s="12">
        <v>59</v>
      </c>
      <c r="D130" s="12"/>
      <c r="E130" s="15" t="s">
        <v>299</v>
      </c>
      <c r="H130" s="10"/>
      <c r="I130" s="10"/>
    </row>
    <row r="131" spans="1:9" x14ac:dyDescent="0.2">
      <c r="A131" s="10">
        <v>16927</v>
      </c>
      <c r="B131" s="11">
        <v>42168</v>
      </c>
      <c r="C131" s="12">
        <v>12.99</v>
      </c>
      <c r="D131" s="12">
        <v>0.99</v>
      </c>
      <c r="E131" s="17"/>
      <c r="H131" s="12"/>
      <c r="I131" s="10"/>
    </row>
    <row r="132" spans="1:9" x14ac:dyDescent="0.2">
      <c r="A132" s="10">
        <v>16928</v>
      </c>
      <c r="B132" s="11">
        <v>42168</v>
      </c>
      <c r="C132" s="12">
        <v>194.79999999999998</v>
      </c>
      <c r="D132" s="12">
        <v>14.85</v>
      </c>
      <c r="E132" s="17"/>
      <c r="H132" s="12"/>
      <c r="I132" s="10"/>
    </row>
    <row r="133" spans="1:9" x14ac:dyDescent="0.2">
      <c r="A133" s="10">
        <v>16929</v>
      </c>
      <c r="B133" s="11">
        <v>42168</v>
      </c>
      <c r="C133" s="12">
        <v>25.98</v>
      </c>
      <c r="D133" s="12">
        <v>1.98</v>
      </c>
      <c r="E133" s="15" t="s">
        <v>11</v>
      </c>
      <c r="H133" s="10"/>
      <c r="I133" s="10"/>
    </row>
    <row r="134" spans="1:9" x14ac:dyDescent="0.2">
      <c r="A134" s="10">
        <v>16930</v>
      </c>
      <c r="B134" s="11">
        <v>42168</v>
      </c>
      <c r="C134" s="12">
        <v>8.66</v>
      </c>
      <c r="D134" s="12">
        <v>0.66</v>
      </c>
      <c r="E134" s="17"/>
      <c r="F134" s="18"/>
      <c r="G134" s="19"/>
      <c r="H134" s="12"/>
      <c r="I134" s="10"/>
    </row>
    <row r="135" spans="1:9" x14ac:dyDescent="0.2">
      <c r="A135" s="10">
        <v>16931</v>
      </c>
      <c r="B135" s="11">
        <v>42168</v>
      </c>
      <c r="C135" s="12">
        <v>85.52</v>
      </c>
      <c r="D135" s="12">
        <v>6.52</v>
      </c>
      <c r="E135" s="15" t="s">
        <v>11</v>
      </c>
      <c r="F135" s="33">
        <f>213.25+C133+C135+100</f>
        <v>424.75</v>
      </c>
      <c r="G135" s="34">
        <v>420.03</v>
      </c>
      <c r="H135" s="10"/>
      <c r="I135" s="10"/>
    </row>
    <row r="136" spans="1:9" x14ac:dyDescent="0.2">
      <c r="A136" s="10">
        <v>16932</v>
      </c>
      <c r="B136" s="11">
        <v>42170</v>
      </c>
      <c r="C136" s="12">
        <v>347.48</v>
      </c>
      <c r="D136" s="12">
        <v>26.48</v>
      </c>
      <c r="E136" s="15" t="s">
        <v>133</v>
      </c>
      <c r="H136" s="10"/>
      <c r="I136" s="10"/>
    </row>
    <row r="137" spans="1:9" x14ac:dyDescent="0.2">
      <c r="A137" s="10">
        <v>16933</v>
      </c>
      <c r="B137" s="11">
        <v>42170</v>
      </c>
      <c r="C137" s="12">
        <v>41.14</v>
      </c>
      <c r="D137" s="12">
        <v>3.14</v>
      </c>
      <c r="E137" s="15" t="s">
        <v>11</v>
      </c>
      <c r="H137" s="10"/>
      <c r="I137" s="10"/>
    </row>
    <row r="138" spans="1:9" x14ac:dyDescent="0.2">
      <c r="A138" s="10">
        <v>16934</v>
      </c>
      <c r="B138" s="11">
        <v>42170</v>
      </c>
      <c r="C138" s="12">
        <v>5.3900000000000006</v>
      </c>
      <c r="D138" s="12">
        <v>0.41</v>
      </c>
      <c r="E138" s="15" t="s">
        <v>11</v>
      </c>
      <c r="H138" s="10"/>
      <c r="I138" s="10"/>
    </row>
    <row r="139" spans="1:9" x14ac:dyDescent="0.2">
      <c r="A139" s="10">
        <v>16935</v>
      </c>
      <c r="B139" s="11">
        <v>42170</v>
      </c>
      <c r="C139" s="12">
        <v>10.780000000000001</v>
      </c>
      <c r="D139" s="12">
        <v>0.82</v>
      </c>
      <c r="E139" s="17"/>
      <c r="F139" s="18"/>
      <c r="G139" s="19"/>
      <c r="H139" s="12"/>
      <c r="I139" s="10"/>
    </row>
    <row r="140" spans="1:9" x14ac:dyDescent="0.2">
      <c r="A140" s="10">
        <v>16936</v>
      </c>
      <c r="B140" s="11">
        <v>42170</v>
      </c>
      <c r="C140" s="12">
        <v>6.44</v>
      </c>
      <c r="D140" s="12">
        <v>0.49</v>
      </c>
      <c r="E140" s="17"/>
      <c r="H140" s="12"/>
      <c r="I140" s="10"/>
    </row>
    <row r="141" spans="1:9" x14ac:dyDescent="0.2">
      <c r="A141" s="10">
        <v>16937</v>
      </c>
      <c r="B141" s="11">
        <v>42170</v>
      </c>
      <c r="C141" s="12">
        <v>86.6</v>
      </c>
      <c r="D141" s="12">
        <v>6.6</v>
      </c>
      <c r="E141" s="17"/>
      <c r="F141" s="18"/>
      <c r="G141" s="19"/>
      <c r="H141" s="12"/>
      <c r="I141" s="10"/>
    </row>
    <row r="142" spans="1:9" x14ac:dyDescent="0.2">
      <c r="A142" s="10">
        <v>16938</v>
      </c>
      <c r="B142" s="11">
        <v>42170</v>
      </c>
      <c r="C142" s="12">
        <v>8.61</v>
      </c>
      <c r="D142" s="12">
        <v>0.66</v>
      </c>
      <c r="E142" s="17"/>
      <c r="H142" s="12"/>
      <c r="I142" s="10"/>
    </row>
    <row r="143" spans="1:9" x14ac:dyDescent="0.2">
      <c r="A143" s="10">
        <v>16939</v>
      </c>
      <c r="B143" s="11">
        <v>42170</v>
      </c>
      <c r="C143" s="12">
        <v>25.869999999999997</v>
      </c>
      <c r="D143" s="12">
        <v>1.97</v>
      </c>
      <c r="E143" s="17"/>
      <c r="H143" s="12"/>
      <c r="I143" s="10"/>
    </row>
    <row r="144" spans="1:9" x14ac:dyDescent="0.2">
      <c r="A144" s="10">
        <v>16940</v>
      </c>
      <c r="B144" s="11">
        <v>42170</v>
      </c>
      <c r="C144" s="12">
        <v>89.85</v>
      </c>
      <c r="D144" s="12">
        <v>6.85</v>
      </c>
      <c r="E144" s="15" t="s">
        <v>13</v>
      </c>
      <c r="F144" s="21"/>
      <c r="G144" s="22"/>
      <c r="H144" s="10"/>
      <c r="I144" s="10"/>
    </row>
    <row r="145" spans="1:9" x14ac:dyDescent="0.2">
      <c r="A145" s="10">
        <v>16941</v>
      </c>
      <c r="B145" s="11">
        <v>42170</v>
      </c>
      <c r="C145" s="12">
        <v>213.25</v>
      </c>
      <c r="D145" s="12">
        <v>16.25</v>
      </c>
      <c r="E145" s="15"/>
      <c r="H145" s="10"/>
      <c r="I145" s="10"/>
    </row>
    <row r="146" spans="1:9" x14ac:dyDescent="0.2">
      <c r="A146" s="10">
        <v>16942</v>
      </c>
      <c r="B146" s="11">
        <v>42170</v>
      </c>
      <c r="C146" s="12">
        <v>67.12</v>
      </c>
      <c r="D146" s="12">
        <v>5.12</v>
      </c>
      <c r="E146" s="15" t="s">
        <v>11</v>
      </c>
      <c r="F146" s="21"/>
      <c r="G146" s="22"/>
      <c r="H146" s="10"/>
      <c r="I146" s="10"/>
    </row>
    <row r="147" spans="1:9" x14ac:dyDescent="0.2">
      <c r="A147" s="10">
        <v>16943</v>
      </c>
      <c r="B147" s="11">
        <v>42170</v>
      </c>
      <c r="C147" s="12">
        <v>162.38</v>
      </c>
      <c r="D147" s="12">
        <v>12.38</v>
      </c>
      <c r="E147" s="17"/>
      <c r="H147" s="12"/>
      <c r="I147" s="10"/>
    </row>
    <row r="148" spans="1:9" x14ac:dyDescent="0.2">
      <c r="A148" s="10">
        <v>16944</v>
      </c>
      <c r="B148" s="11">
        <v>42170</v>
      </c>
      <c r="C148" s="12">
        <v>20.78</v>
      </c>
      <c r="D148" s="12">
        <v>1.58</v>
      </c>
      <c r="E148" s="15" t="s">
        <v>11</v>
      </c>
      <c r="H148" s="10"/>
      <c r="I148" s="10"/>
    </row>
    <row r="149" spans="1:9" x14ac:dyDescent="0.2">
      <c r="A149" s="10">
        <v>16945</v>
      </c>
      <c r="B149" s="11">
        <v>42170</v>
      </c>
      <c r="C149" s="12">
        <v>112.58</v>
      </c>
      <c r="D149" s="12">
        <v>8.58</v>
      </c>
      <c r="E149" s="15" t="s">
        <v>21</v>
      </c>
      <c r="F149" s="33">
        <f>+C137+C138+C144+C148</f>
        <v>157.16</v>
      </c>
      <c r="G149" s="34">
        <v>153.97</v>
      </c>
      <c r="H149" s="10"/>
      <c r="I149" s="10"/>
    </row>
    <row r="150" spans="1:9" x14ac:dyDescent="0.2">
      <c r="A150" s="10">
        <v>16946</v>
      </c>
      <c r="B150" s="11">
        <v>42171</v>
      </c>
      <c r="C150" s="12">
        <v>3.25</v>
      </c>
      <c r="D150" s="12">
        <v>0.25</v>
      </c>
      <c r="E150" s="17"/>
      <c r="F150" s="115"/>
      <c r="G150" s="115"/>
      <c r="H150" s="12"/>
      <c r="I150" s="10"/>
    </row>
    <row r="151" spans="1:9" x14ac:dyDescent="0.2">
      <c r="A151" s="10">
        <v>16947</v>
      </c>
      <c r="B151" s="11">
        <v>42171</v>
      </c>
      <c r="C151" s="12">
        <v>166.71</v>
      </c>
      <c r="D151" s="12">
        <v>12.71</v>
      </c>
      <c r="E151" s="15" t="s">
        <v>13</v>
      </c>
      <c r="F151" s="21"/>
      <c r="G151" s="22"/>
      <c r="H151" s="10"/>
      <c r="I151" s="10"/>
    </row>
    <row r="152" spans="1:9" x14ac:dyDescent="0.2">
      <c r="A152" s="10">
        <v>16948</v>
      </c>
      <c r="B152" s="11">
        <v>42171</v>
      </c>
      <c r="C152" s="12">
        <v>85.52</v>
      </c>
      <c r="D152" s="12">
        <v>6.52</v>
      </c>
      <c r="E152" s="15" t="s">
        <v>11</v>
      </c>
      <c r="F152" s="115"/>
      <c r="G152" s="115"/>
      <c r="H152" s="10"/>
      <c r="I152" s="10"/>
    </row>
    <row r="153" spans="1:9" x14ac:dyDescent="0.2">
      <c r="A153" s="10">
        <v>16949</v>
      </c>
      <c r="B153" s="11">
        <v>42171</v>
      </c>
      <c r="C153" s="12">
        <v>77</v>
      </c>
      <c r="D153" s="12">
        <v>5.87</v>
      </c>
      <c r="E153" s="17"/>
      <c r="F153" s="18"/>
      <c r="G153" s="19"/>
      <c r="H153" s="12"/>
      <c r="I153" s="10"/>
    </row>
    <row r="154" spans="1:9" x14ac:dyDescent="0.2">
      <c r="A154" s="10">
        <v>16950</v>
      </c>
      <c r="B154" s="11">
        <v>42171</v>
      </c>
      <c r="C154" s="12">
        <v>108.25</v>
      </c>
      <c r="D154" s="12">
        <v>8.25</v>
      </c>
      <c r="E154" s="15" t="s">
        <v>11</v>
      </c>
      <c r="F154" s="21"/>
      <c r="G154" s="22"/>
      <c r="H154" s="10"/>
      <c r="I154" s="10"/>
    </row>
    <row r="155" spans="1:9" x14ac:dyDescent="0.2">
      <c r="A155" s="10">
        <v>16951</v>
      </c>
      <c r="B155" s="11">
        <v>42171</v>
      </c>
      <c r="C155" s="12">
        <v>150</v>
      </c>
      <c r="D155" s="12"/>
      <c r="E155" s="15" t="s">
        <v>6</v>
      </c>
      <c r="F155" s="21"/>
      <c r="G155" s="22"/>
      <c r="H155" s="10"/>
      <c r="I155" s="10"/>
    </row>
    <row r="156" spans="1:9" x14ac:dyDescent="0.2">
      <c r="A156" s="10">
        <v>16952</v>
      </c>
      <c r="B156" s="11">
        <v>42171</v>
      </c>
      <c r="C156" s="12">
        <v>27.06</v>
      </c>
      <c r="D156" s="12">
        <v>2.06</v>
      </c>
      <c r="E156" s="15" t="s">
        <v>11</v>
      </c>
      <c r="F156" s="21"/>
      <c r="G156" s="22"/>
      <c r="H156" s="10"/>
      <c r="I156" s="10"/>
    </row>
    <row r="157" spans="1:9" x14ac:dyDescent="0.2">
      <c r="A157" s="10">
        <v>16953</v>
      </c>
      <c r="B157" s="11">
        <v>42171</v>
      </c>
      <c r="C157" s="12">
        <v>-49.78</v>
      </c>
      <c r="D157" s="12"/>
      <c r="E157" s="13" t="s">
        <v>365</v>
      </c>
      <c r="F157" s="18"/>
      <c r="G157" s="19"/>
      <c r="H157" s="12"/>
      <c r="I157" s="10"/>
    </row>
    <row r="158" spans="1:9" x14ac:dyDescent="0.2">
      <c r="A158" s="10">
        <v>16954</v>
      </c>
      <c r="B158" s="11">
        <v>42171</v>
      </c>
      <c r="C158" s="12">
        <v>119.08</v>
      </c>
      <c r="D158" s="12">
        <v>9.08</v>
      </c>
      <c r="E158" s="15" t="s">
        <v>7</v>
      </c>
      <c r="F158" s="21"/>
      <c r="G158" s="22"/>
      <c r="H158" s="10"/>
      <c r="I158" s="10"/>
    </row>
    <row r="159" spans="1:9" x14ac:dyDescent="0.2">
      <c r="A159" s="10">
        <v>16955</v>
      </c>
      <c r="B159" s="11">
        <v>42171</v>
      </c>
      <c r="C159" s="12">
        <v>36.75</v>
      </c>
      <c r="D159" s="12">
        <v>2.8</v>
      </c>
      <c r="E159" s="13"/>
      <c r="F159" s="18"/>
      <c r="G159" s="19"/>
      <c r="H159" s="12"/>
      <c r="I159" s="10"/>
    </row>
    <row r="160" spans="1:9" x14ac:dyDescent="0.2">
      <c r="A160" s="10">
        <v>16956</v>
      </c>
      <c r="B160" s="11">
        <v>42171</v>
      </c>
      <c r="C160" s="12">
        <v>-120</v>
      </c>
      <c r="D160" s="12">
        <v>-9.15</v>
      </c>
      <c r="E160" s="15" t="s">
        <v>11</v>
      </c>
      <c r="H160" s="10"/>
      <c r="I160" s="10"/>
    </row>
    <row r="161" spans="1:11" x14ac:dyDescent="0.2">
      <c r="A161" s="10">
        <v>16957</v>
      </c>
      <c r="B161" s="11">
        <v>42171</v>
      </c>
      <c r="C161" s="12">
        <v>7.2</v>
      </c>
      <c r="D161" s="12"/>
      <c r="E161" s="13" t="s">
        <v>365</v>
      </c>
      <c r="F161" s="18"/>
      <c r="G161" s="19"/>
      <c r="H161" s="12"/>
      <c r="I161" s="10"/>
    </row>
    <row r="162" spans="1:11" x14ac:dyDescent="0.2">
      <c r="A162" s="10">
        <v>16958</v>
      </c>
      <c r="B162" s="11">
        <v>42171</v>
      </c>
      <c r="C162" s="12">
        <v>345.32</v>
      </c>
      <c r="D162" s="12">
        <v>26.32</v>
      </c>
      <c r="E162" s="15" t="s">
        <v>7</v>
      </c>
      <c r="F162" s="33">
        <f>112.58+C151+C152+C154+C156+C158+C160+C162</f>
        <v>844.52</v>
      </c>
      <c r="G162" s="34">
        <v>830.17</v>
      </c>
      <c r="H162" s="10"/>
      <c r="I162" s="10"/>
    </row>
    <row r="163" spans="1:11" x14ac:dyDescent="0.2">
      <c r="A163" s="10">
        <v>16959</v>
      </c>
      <c r="B163" s="11">
        <v>42172</v>
      </c>
      <c r="C163" s="12">
        <v>48.71</v>
      </c>
      <c r="D163" s="12">
        <v>3.71</v>
      </c>
      <c r="E163" s="15" t="s">
        <v>11</v>
      </c>
      <c r="H163" s="10"/>
      <c r="I163" s="10"/>
    </row>
    <row r="164" spans="1:11" x14ac:dyDescent="0.2">
      <c r="A164" s="10">
        <v>16960</v>
      </c>
      <c r="B164" s="11">
        <v>42172</v>
      </c>
      <c r="C164" s="12"/>
      <c r="D164" s="12"/>
      <c r="E164" s="15" t="s">
        <v>385</v>
      </c>
      <c r="H164" s="10"/>
      <c r="I164" s="10"/>
    </row>
    <row r="165" spans="1:11" x14ac:dyDescent="0.2">
      <c r="A165" s="10">
        <v>16961</v>
      </c>
      <c r="B165" s="11">
        <v>42172</v>
      </c>
      <c r="C165" s="12">
        <v>105.9984</v>
      </c>
      <c r="D165" s="12">
        <v>8.0784000000000002</v>
      </c>
      <c r="E165" s="15" t="s">
        <v>386</v>
      </c>
      <c r="H165" s="10"/>
      <c r="I165" s="10"/>
    </row>
    <row r="166" spans="1:11" x14ac:dyDescent="0.2">
      <c r="A166" s="10">
        <v>16962</v>
      </c>
      <c r="B166" s="11">
        <v>42172</v>
      </c>
      <c r="C166" s="12">
        <v>-4.33</v>
      </c>
      <c r="D166" s="12">
        <v>-0.33</v>
      </c>
      <c r="E166" s="15" t="s">
        <v>50</v>
      </c>
      <c r="H166" s="10"/>
      <c r="I166" s="10"/>
    </row>
    <row r="167" spans="1:11" x14ac:dyDescent="0.2">
      <c r="A167" s="10">
        <v>16963</v>
      </c>
      <c r="B167" s="11">
        <v>42172</v>
      </c>
      <c r="C167" s="12">
        <v>258.71000000000004</v>
      </c>
      <c r="D167" s="12">
        <v>19.72</v>
      </c>
      <c r="E167" s="15" t="s">
        <v>23</v>
      </c>
      <c r="H167" s="10"/>
      <c r="I167" s="10"/>
    </row>
    <row r="168" spans="1:11" x14ac:dyDescent="0.2">
      <c r="A168" s="10">
        <v>16964</v>
      </c>
      <c r="B168" s="11">
        <v>42172</v>
      </c>
      <c r="C168" s="12">
        <v>37.830000000000005</v>
      </c>
      <c r="D168" s="12">
        <v>2.88</v>
      </c>
      <c r="E168" s="17"/>
      <c r="F168" s="18"/>
      <c r="G168" s="19"/>
      <c r="H168" s="12"/>
      <c r="I168" s="10"/>
    </row>
    <row r="169" spans="1:11" x14ac:dyDescent="0.2">
      <c r="A169" s="10">
        <v>16965</v>
      </c>
      <c r="B169" s="11">
        <v>42172</v>
      </c>
      <c r="C169" s="12">
        <v>-10.83</v>
      </c>
      <c r="D169" s="12">
        <v>-0.83</v>
      </c>
      <c r="E169" s="17"/>
      <c r="H169" s="12"/>
      <c r="I169" s="10"/>
    </row>
    <row r="170" spans="1:11" x14ac:dyDescent="0.2">
      <c r="A170" s="10">
        <v>16966</v>
      </c>
      <c r="B170" s="11">
        <v>42172</v>
      </c>
      <c r="C170" s="12">
        <v>5</v>
      </c>
      <c r="D170" s="12">
        <v>0.38</v>
      </c>
      <c r="E170" s="17"/>
      <c r="H170" s="12"/>
      <c r="I170" s="10"/>
    </row>
    <row r="171" spans="1:11" x14ac:dyDescent="0.2">
      <c r="A171" s="10">
        <v>16967</v>
      </c>
      <c r="B171" s="11">
        <v>42172</v>
      </c>
      <c r="C171" s="12">
        <v>2.7</v>
      </c>
      <c r="D171" s="12">
        <v>0.21</v>
      </c>
      <c r="E171" s="12"/>
      <c r="F171" s="12"/>
      <c r="G171" s="12"/>
      <c r="H171" s="127"/>
      <c r="K171" s="27"/>
    </row>
    <row r="172" spans="1:11" x14ac:dyDescent="0.2">
      <c r="A172" s="10">
        <v>16968</v>
      </c>
      <c r="B172" s="11">
        <v>42172</v>
      </c>
      <c r="C172" s="12">
        <v>53.04</v>
      </c>
      <c r="D172" s="12">
        <v>4.04</v>
      </c>
      <c r="E172" s="15" t="s">
        <v>21</v>
      </c>
      <c r="F172" s="33">
        <f>+C167+C163</f>
        <v>307.42</v>
      </c>
      <c r="G172" s="34">
        <v>301.89999999999998</v>
      </c>
      <c r="H172" s="125"/>
      <c r="I172" s="10"/>
      <c r="K172" s="27"/>
    </row>
    <row r="173" spans="1:11" x14ac:dyDescent="0.2">
      <c r="A173" s="10">
        <v>16969</v>
      </c>
      <c r="B173" s="11">
        <v>42173</v>
      </c>
      <c r="C173" s="12">
        <v>250.06</v>
      </c>
      <c r="D173" s="12">
        <v>19.059999999999999</v>
      </c>
      <c r="E173" s="15" t="s">
        <v>21</v>
      </c>
      <c r="F173" s="21"/>
      <c r="G173" s="22"/>
      <c r="H173" s="125"/>
      <c r="I173" s="10"/>
      <c r="K173" s="27"/>
    </row>
    <row r="174" spans="1:11" x14ac:dyDescent="0.2">
      <c r="A174" s="10">
        <v>16970</v>
      </c>
      <c r="B174" s="11">
        <v>42173</v>
      </c>
      <c r="C174" s="12">
        <v>109</v>
      </c>
      <c r="D174" s="12">
        <v>8.31</v>
      </c>
      <c r="E174" s="17"/>
      <c r="F174" s="18"/>
      <c r="G174" s="19"/>
      <c r="H174" s="127"/>
      <c r="I174" s="10"/>
      <c r="K174" s="27"/>
    </row>
    <row r="175" spans="1:11" x14ac:dyDescent="0.2">
      <c r="A175" s="10">
        <v>16971</v>
      </c>
      <c r="B175" s="11">
        <v>42173</v>
      </c>
      <c r="C175" s="12">
        <v>160.5</v>
      </c>
      <c r="D175" s="12">
        <v>12.23</v>
      </c>
      <c r="E175" s="17"/>
      <c r="H175" s="127"/>
      <c r="I175" s="10"/>
      <c r="K175" s="27"/>
    </row>
    <row r="176" spans="1:11" x14ac:dyDescent="0.2">
      <c r="A176" s="10">
        <v>16972</v>
      </c>
      <c r="B176" s="11">
        <v>42173</v>
      </c>
      <c r="C176" s="12">
        <v>77</v>
      </c>
      <c r="D176" s="12">
        <v>5.87</v>
      </c>
      <c r="E176" s="15" t="s">
        <v>11</v>
      </c>
      <c r="H176" s="125"/>
      <c r="I176" s="10"/>
      <c r="K176" s="27"/>
    </row>
    <row r="177" spans="1:11" x14ac:dyDescent="0.2">
      <c r="A177" s="10">
        <v>16973</v>
      </c>
      <c r="B177" s="11">
        <v>42173</v>
      </c>
      <c r="C177" s="12">
        <v>109.49000000000001</v>
      </c>
      <c r="D177" s="12">
        <v>8.34</v>
      </c>
      <c r="E177" s="17"/>
      <c r="F177" s="18"/>
      <c r="G177" s="19"/>
      <c r="H177" s="127"/>
      <c r="I177" s="10"/>
      <c r="K177" s="27"/>
    </row>
    <row r="178" spans="1:11" x14ac:dyDescent="0.2">
      <c r="A178" s="10">
        <v>16974</v>
      </c>
      <c r="B178" s="11">
        <v>42173</v>
      </c>
      <c r="C178" s="12">
        <v>42.22</v>
      </c>
      <c r="D178" s="12">
        <v>3.22</v>
      </c>
      <c r="E178" s="17"/>
      <c r="H178" s="127"/>
      <c r="I178" s="10"/>
      <c r="K178" s="27"/>
    </row>
    <row r="179" spans="1:11" x14ac:dyDescent="0.2">
      <c r="A179" s="10">
        <v>16975</v>
      </c>
      <c r="B179" s="11">
        <v>42173</v>
      </c>
      <c r="C179" s="12">
        <v>20.459999999999997</v>
      </c>
      <c r="D179" s="12">
        <v>1.56</v>
      </c>
      <c r="E179" s="17"/>
      <c r="H179" s="127"/>
      <c r="I179" s="10"/>
      <c r="K179" s="27"/>
    </row>
    <row r="180" spans="1:11" x14ac:dyDescent="0.2">
      <c r="A180" s="10">
        <v>16976</v>
      </c>
      <c r="B180" s="11">
        <v>42173</v>
      </c>
      <c r="C180" s="12">
        <v>21.43</v>
      </c>
      <c r="D180" s="12">
        <v>1.63</v>
      </c>
      <c r="E180" s="17"/>
      <c r="H180" s="127"/>
      <c r="I180" s="10"/>
      <c r="K180" s="27"/>
    </row>
    <row r="181" spans="1:11" x14ac:dyDescent="0.2">
      <c r="A181" s="10">
        <v>16977</v>
      </c>
      <c r="B181" s="11">
        <v>42173</v>
      </c>
      <c r="C181" s="12">
        <v>81.19</v>
      </c>
      <c r="D181" s="12">
        <v>6.19</v>
      </c>
      <c r="E181" s="15" t="s">
        <v>387</v>
      </c>
      <c r="H181" s="125"/>
      <c r="I181" s="10"/>
      <c r="K181" s="27"/>
    </row>
    <row r="182" spans="1:11" x14ac:dyDescent="0.2">
      <c r="A182" s="10">
        <v>16978</v>
      </c>
      <c r="B182" s="11">
        <v>42173</v>
      </c>
      <c r="C182" s="12">
        <v>23.650000000000002</v>
      </c>
      <c r="D182" s="12">
        <v>1.8</v>
      </c>
      <c r="E182" s="15" t="s">
        <v>11</v>
      </c>
      <c r="H182" s="125"/>
      <c r="I182" s="10"/>
      <c r="K182" s="27"/>
    </row>
    <row r="183" spans="1:11" x14ac:dyDescent="0.2">
      <c r="A183" s="10">
        <v>16979</v>
      </c>
      <c r="B183" s="11">
        <v>42173</v>
      </c>
      <c r="C183" s="12">
        <v>21.65</v>
      </c>
      <c r="D183" s="12">
        <v>1.65</v>
      </c>
      <c r="E183" s="15"/>
      <c r="F183" s="115"/>
      <c r="G183" s="115"/>
      <c r="H183" s="125"/>
      <c r="I183" s="10"/>
      <c r="K183" s="27"/>
    </row>
    <row r="184" spans="1:11" x14ac:dyDescent="0.2">
      <c r="A184" s="10">
        <v>16980</v>
      </c>
      <c r="B184" s="11">
        <v>42173</v>
      </c>
      <c r="C184" s="12">
        <v>140</v>
      </c>
      <c r="D184" s="12"/>
      <c r="E184" s="13" t="s">
        <v>388</v>
      </c>
      <c r="F184" s="18"/>
      <c r="G184" s="19"/>
      <c r="H184" s="127"/>
      <c r="I184" s="10"/>
      <c r="K184" s="27"/>
    </row>
    <row r="185" spans="1:11" x14ac:dyDescent="0.2">
      <c r="A185" s="10">
        <v>16981</v>
      </c>
      <c r="B185" s="11">
        <v>42173</v>
      </c>
      <c r="C185" s="12">
        <v>279.83</v>
      </c>
      <c r="D185" s="12">
        <v>21.33</v>
      </c>
      <c r="E185" s="15" t="s">
        <v>7</v>
      </c>
      <c r="H185" s="125"/>
      <c r="I185" s="10"/>
      <c r="K185" s="27"/>
    </row>
    <row r="186" spans="1:11" x14ac:dyDescent="0.2">
      <c r="A186" s="10">
        <v>16982</v>
      </c>
      <c r="B186" s="11">
        <v>42173</v>
      </c>
      <c r="C186" s="12">
        <v>10</v>
      </c>
      <c r="D186" s="12">
        <v>0.76</v>
      </c>
      <c r="E186" s="17"/>
      <c r="F186" s="18"/>
      <c r="G186" s="19"/>
      <c r="H186" s="127"/>
      <c r="I186" s="10"/>
      <c r="K186" s="27"/>
    </row>
    <row r="187" spans="1:11" x14ac:dyDescent="0.2">
      <c r="A187" s="10">
        <v>16983</v>
      </c>
      <c r="B187" s="11">
        <v>42173</v>
      </c>
      <c r="C187" s="12">
        <v>58.46</v>
      </c>
      <c r="D187" s="12">
        <v>4.46</v>
      </c>
      <c r="E187" s="17"/>
      <c r="H187" s="127"/>
      <c r="I187" s="10"/>
      <c r="K187" s="27"/>
    </row>
    <row r="188" spans="1:11" x14ac:dyDescent="0.2">
      <c r="A188" s="10">
        <v>16984</v>
      </c>
      <c r="B188" s="11">
        <v>42173</v>
      </c>
      <c r="C188" s="12">
        <v>354</v>
      </c>
      <c r="D188" s="12">
        <v>26.98</v>
      </c>
      <c r="E188" s="23"/>
      <c r="F188" s="21"/>
      <c r="G188" s="22"/>
      <c r="H188" s="125"/>
      <c r="I188" s="10"/>
      <c r="K188" s="27"/>
    </row>
    <row r="189" spans="1:11" x14ac:dyDescent="0.2">
      <c r="A189" s="10">
        <v>16985</v>
      </c>
      <c r="B189" s="11">
        <v>42173</v>
      </c>
      <c r="C189" s="12">
        <v>74</v>
      </c>
      <c r="D189" s="12"/>
      <c r="E189" s="13" t="s">
        <v>389</v>
      </c>
      <c r="F189" s="33">
        <f>50+C182+C185+60.5</f>
        <v>413.98</v>
      </c>
      <c r="G189" s="34">
        <v>407.54</v>
      </c>
      <c r="H189" s="127"/>
      <c r="I189" s="10"/>
      <c r="K189" s="27"/>
    </row>
    <row r="190" spans="1:11" x14ac:dyDescent="0.2">
      <c r="A190" s="10">
        <v>16986</v>
      </c>
      <c r="B190" s="11">
        <v>42174</v>
      </c>
      <c r="C190" s="12">
        <v>74.69</v>
      </c>
      <c r="D190" s="12">
        <v>5.69</v>
      </c>
      <c r="E190" s="17"/>
      <c r="F190" s="18"/>
      <c r="G190" s="19"/>
      <c r="H190" s="127"/>
      <c r="I190" s="10"/>
      <c r="K190" s="27"/>
    </row>
    <row r="191" spans="1:11" x14ac:dyDescent="0.2">
      <c r="A191" s="10">
        <v>16987</v>
      </c>
      <c r="B191" s="11">
        <v>42174</v>
      </c>
      <c r="C191" s="12">
        <v>265</v>
      </c>
      <c r="D191" s="12">
        <v>20.2</v>
      </c>
      <c r="E191" s="17"/>
      <c r="H191" s="127"/>
      <c r="I191" s="10"/>
      <c r="K191" s="27"/>
    </row>
    <row r="192" spans="1:11" x14ac:dyDescent="0.2">
      <c r="A192" s="10">
        <v>16988</v>
      </c>
      <c r="B192" s="11">
        <v>42174</v>
      </c>
      <c r="C192" s="12">
        <v>10.8</v>
      </c>
      <c r="D192" s="12">
        <v>0.82</v>
      </c>
      <c r="E192" s="15" t="s">
        <v>11</v>
      </c>
      <c r="F192" s="21"/>
      <c r="G192" s="22"/>
      <c r="H192" s="125"/>
      <c r="I192" s="10"/>
      <c r="K192" s="27"/>
    </row>
    <row r="193" spans="1:11" x14ac:dyDescent="0.2">
      <c r="A193" s="10">
        <v>16989</v>
      </c>
      <c r="B193" s="11">
        <v>42174</v>
      </c>
      <c r="C193" s="12">
        <v>10.83</v>
      </c>
      <c r="D193" s="12">
        <v>0.83</v>
      </c>
      <c r="E193" s="15" t="s">
        <v>11</v>
      </c>
      <c r="H193" s="125"/>
      <c r="I193" s="10"/>
      <c r="K193" s="27"/>
    </row>
    <row r="194" spans="1:11" x14ac:dyDescent="0.2">
      <c r="A194" s="10">
        <v>16990</v>
      </c>
      <c r="B194" s="11">
        <v>42174</v>
      </c>
      <c r="C194" s="12">
        <v>30.05</v>
      </c>
      <c r="D194" s="12">
        <v>1.1499999999999999</v>
      </c>
      <c r="E194" s="17"/>
      <c r="F194" s="18"/>
      <c r="G194" s="19"/>
      <c r="H194" s="127"/>
      <c r="I194" s="10"/>
      <c r="K194" s="27"/>
    </row>
    <row r="195" spans="1:11" x14ac:dyDescent="0.2">
      <c r="A195" s="10">
        <v>16991</v>
      </c>
      <c r="B195" s="11">
        <v>42174</v>
      </c>
      <c r="C195" s="12">
        <v>104</v>
      </c>
      <c r="D195" s="12">
        <v>7.93</v>
      </c>
      <c r="E195" s="15" t="s">
        <v>13</v>
      </c>
      <c r="F195" s="21"/>
      <c r="G195" s="22"/>
      <c r="H195" s="125"/>
      <c r="I195" s="10"/>
      <c r="K195" s="27"/>
    </row>
    <row r="196" spans="1:11" x14ac:dyDescent="0.2">
      <c r="A196" s="10">
        <v>16992</v>
      </c>
      <c r="B196" s="11">
        <v>42174</v>
      </c>
      <c r="C196" s="12">
        <v>27.06</v>
      </c>
      <c r="D196" s="12">
        <v>2.06</v>
      </c>
      <c r="E196" s="15" t="s">
        <v>11</v>
      </c>
      <c r="H196" s="125"/>
      <c r="I196" s="10"/>
      <c r="K196" s="27"/>
    </row>
    <row r="197" spans="1:11" x14ac:dyDescent="0.2">
      <c r="A197" s="10">
        <v>16993</v>
      </c>
      <c r="B197" s="11">
        <v>42174</v>
      </c>
      <c r="C197" s="12">
        <v>171.04</v>
      </c>
      <c r="D197" s="12">
        <v>13.04</v>
      </c>
      <c r="E197" s="15" t="s">
        <v>11</v>
      </c>
      <c r="F197" s="21"/>
      <c r="G197" s="22"/>
      <c r="H197" s="125"/>
      <c r="I197" s="10"/>
      <c r="K197" s="27"/>
    </row>
    <row r="198" spans="1:11" x14ac:dyDescent="0.2">
      <c r="A198" s="10">
        <v>16994</v>
      </c>
      <c r="B198" s="11">
        <v>42174</v>
      </c>
      <c r="C198" s="12">
        <v>208.92</v>
      </c>
      <c r="D198" s="12">
        <v>15.92</v>
      </c>
      <c r="E198" s="15" t="s">
        <v>11</v>
      </c>
      <c r="H198" s="125"/>
      <c r="I198" s="10"/>
      <c r="K198" s="27"/>
    </row>
    <row r="199" spans="1:11" x14ac:dyDescent="0.2">
      <c r="A199" s="10">
        <v>16995</v>
      </c>
      <c r="B199" s="11">
        <v>42174</v>
      </c>
      <c r="C199" s="12">
        <v>54.019999999999996</v>
      </c>
      <c r="D199" s="12">
        <v>4.12</v>
      </c>
      <c r="E199" s="15" t="s">
        <v>11</v>
      </c>
      <c r="H199" s="125"/>
      <c r="I199" s="10"/>
      <c r="K199" s="27"/>
    </row>
    <row r="200" spans="1:11" x14ac:dyDescent="0.2">
      <c r="A200" s="10">
        <v>16996</v>
      </c>
      <c r="B200" s="11">
        <v>42174</v>
      </c>
      <c r="C200" s="12">
        <v>42.22</v>
      </c>
      <c r="D200" s="12">
        <v>3.22</v>
      </c>
      <c r="E200" s="15" t="s">
        <v>21</v>
      </c>
      <c r="F200" s="33">
        <f>+C192+C193+C195+C196+C197+C176+C199-22.89</f>
        <v>431.86</v>
      </c>
      <c r="G200" s="34">
        <v>425.23</v>
      </c>
      <c r="H200" s="118"/>
      <c r="I200" s="10"/>
      <c r="K200" s="27"/>
    </row>
    <row r="201" spans="1:11" x14ac:dyDescent="0.2">
      <c r="A201" s="10">
        <v>16997</v>
      </c>
      <c r="B201" s="11">
        <v>42175</v>
      </c>
      <c r="C201" s="12">
        <v>36.81</v>
      </c>
      <c r="D201" s="12">
        <v>2.81</v>
      </c>
      <c r="E201" s="17"/>
      <c r="F201" s="18"/>
      <c r="G201" s="19"/>
      <c r="H201" s="121"/>
      <c r="I201" s="10"/>
      <c r="K201" s="27"/>
    </row>
    <row r="202" spans="1:11" x14ac:dyDescent="0.2">
      <c r="A202" s="10">
        <v>16998</v>
      </c>
      <c r="B202" s="11">
        <v>42175</v>
      </c>
      <c r="C202" s="12">
        <v>18.619999999999997</v>
      </c>
      <c r="D202" s="12">
        <v>1.42</v>
      </c>
      <c r="E202" s="17"/>
      <c r="F202" s="18"/>
      <c r="G202" s="19"/>
      <c r="H202" s="121"/>
      <c r="I202" s="10"/>
      <c r="K202" s="27"/>
    </row>
    <row r="203" spans="1:11" x14ac:dyDescent="0.2">
      <c r="A203" s="10">
        <v>16999</v>
      </c>
      <c r="B203" s="11">
        <v>42175</v>
      </c>
      <c r="C203" s="12">
        <v>59.54</v>
      </c>
      <c r="D203" s="12">
        <v>4.54</v>
      </c>
      <c r="E203" s="15" t="s">
        <v>11</v>
      </c>
      <c r="H203" s="118"/>
      <c r="I203" s="10"/>
      <c r="K203" s="27"/>
    </row>
    <row r="204" spans="1:11" x14ac:dyDescent="0.2">
      <c r="A204" s="10">
        <v>17000</v>
      </c>
      <c r="B204" s="11">
        <v>42175</v>
      </c>
      <c r="C204" s="12">
        <v>118.99922500000001</v>
      </c>
      <c r="D204" s="12">
        <v>9.0692250000000012</v>
      </c>
      <c r="E204" s="13" t="s">
        <v>390</v>
      </c>
      <c r="H204" s="121"/>
      <c r="I204" s="10"/>
      <c r="K204" s="27"/>
    </row>
    <row r="205" spans="1:11" x14ac:dyDescent="0.2">
      <c r="A205" s="10">
        <v>17001</v>
      </c>
      <c r="B205" s="11">
        <v>42175</v>
      </c>
      <c r="C205" s="12">
        <v>25.98</v>
      </c>
      <c r="D205" s="12">
        <v>1.98</v>
      </c>
      <c r="E205" s="17"/>
      <c r="H205" s="121"/>
      <c r="I205" s="10"/>
      <c r="K205" s="27"/>
    </row>
    <row r="206" spans="1:11" x14ac:dyDescent="0.2">
      <c r="A206" s="10">
        <v>17002</v>
      </c>
      <c r="B206" s="11">
        <v>42175</v>
      </c>
      <c r="C206" s="12">
        <v>49</v>
      </c>
      <c r="D206" s="12"/>
      <c r="E206" s="13" t="s">
        <v>365</v>
      </c>
      <c r="H206" s="121"/>
      <c r="I206" s="10"/>
      <c r="K206" s="27"/>
    </row>
    <row r="207" spans="1:11" x14ac:dyDescent="0.2">
      <c r="A207" s="10">
        <v>17003</v>
      </c>
      <c r="B207" s="11">
        <v>42175</v>
      </c>
      <c r="C207" s="12">
        <v>427.53</v>
      </c>
      <c r="D207" s="12">
        <v>32.58</v>
      </c>
      <c r="E207" s="15" t="s">
        <v>13</v>
      </c>
      <c r="F207" s="21"/>
      <c r="G207" s="22"/>
      <c r="H207" s="118"/>
      <c r="I207" s="10"/>
      <c r="K207" s="27"/>
    </row>
    <row r="208" spans="1:11" x14ac:dyDescent="0.2">
      <c r="A208" s="10">
        <v>17004</v>
      </c>
      <c r="B208" s="11">
        <v>42175</v>
      </c>
      <c r="C208" s="12">
        <v>198.1</v>
      </c>
      <c r="D208" s="12">
        <v>15.1</v>
      </c>
      <c r="E208" s="15" t="s">
        <v>21</v>
      </c>
      <c r="H208" s="118"/>
      <c r="I208" s="10"/>
      <c r="K208" s="27"/>
    </row>
    <row r="209" spans="1:11" x14ac:dyDescent="0.2">
      <c r="A209" s="10">
        <v>17005</v>
      </c>
      <c r="B209" s="11">
        <v>42175</v>
      </c>
      <c r="C209" s="12">
        <v>136.17999999999998</v>
      </c>
      <c r="D209" s="12">
        <v>1.23</v>
      </c>
      <c r="E209" s="17"/>
      <c r="H209" s="121"/>
      <c r="I209" s="10"/>
      <c r="K209" s="27"/>
    </row>
    <row r="210" spans="1:11" x14ac:dyDescent="0.2">
      <c r="A210" s="10">
        <v>17006</v>
      </c>
      <c r="B210" s="11">
        <v>42175</v>
      </c>
      <c r="C210" s="12">
        <v>20</v>
      </c>
      <c r="D210" s="12">
        <v>1.52</v>
      </c>
      <c r="E210" s="17"/>
      <c r="F210" s="33">
        <f>208.92+C203+C207</f>
        <v>695.99</v>
      </c>
      <c r="G210" s="34">
        <v>682.34</v>
      </c>
      <c r="H210" s="121"/>
      <c r="I210" s="10"/>
      <c r="K210" s="27"/>
    </row>
    <row r="211" spans="1:11" x14ac:dyDescent="0.2">
      <c r="A211" s="10">
        <v>17007</v>
      </c>
      <c r="B211" s="11">
        <v>42177</v>
      </c>
      <c r="C211" s="12">
        <v>508.78</v>
      </c>
      <c r="D211" s="12">
        <v>38.78</v>
      </c>
      <c r="E211" s="15" t="s">
        <v>11</v>
      </c>
      <c r="H211" s="118"/>
      <c r="I211" s="10"/>
      <c r="K211" s="27"/>
    </row>
    <row r="212" spans="1:11" x14ac:dyDescent="0.2">
      <c r="A212" s="10">
        <v>17008</v>
      </c>
      <c r="B212" s="11">
        <v>42177</v>
      </c>
      <c r="C212" s="12">
        <v>33.020000000000003</v>
      </c>
      <c r="D212" s="12">
        <v>2.52</v>
      </c>
      <c r="E212" s="15"/>
      <c r="F212" s="21"/>
      <c r="G212" s="22"/>
      <c r="H212" s="118"/>
      <c r="I212" s="10"/>
      <c r="K212" s="27"/>
    </row>
    <row r="213" spans="1:11" x14ac:dyDescent="0.2">
      <c r="A213" s="10">
        <v>17009</v>
      </c>
      <c r="B213" s="11">
        <v>42177</v>
      </c>
      <c r="C213" s="12">
        <v>0</v>
      </c>
      <c r="D213" s="12">
        <v>0</v>
      </c>
      <c r="E213" s="15" t="s">
        <v>391</v>
      </c>
      <c r="H213" s="118"/>
      <c r="I213" s="10"/>
      <c r="K213" s="27"/>
    </row>
    <row r="214" spans="1:11" x14ac:dyDescent="0.2">
      <c r="A214" s="10">
        <v>17010</v>
      </c>
      <c r="B214" s="11">
        <v>42177</v>
      </c>
      <c r="C214" s="12">
        <v>8.66</v>
      </c>
      <c r="D214" s="12">
        <v>0.66</v>
      </c>
      <c r="E214" s="17"/>
      <c r="H214" s="121"/>
      <c r="I214" s="10"/>
      <c r="K214" s="27"/>
    </row>
    <row r="215" spans="1:11" x14ac:dyDescent="0.2">
      <c r="A215" s="10">
        <v>17011</v>
      </c>
      <c r="B215" s="11">
        <v>42177</v>
      </c>
      <c r="C215" s="12">
        <v>4.33</v>
      </c>
      <c r="D215" s="12">
        <v>0.33</v>
      </c>
      <c r="E215" s="17"/>
      <c r="H215" s="121"/>
      <c r="I215" s="10"/>
      <c r="K215" s="27"/>
    </row>
    <row r="216" spans="1:11" x14ac:dyDescent="0.2">
      <c r="A216" s="10">
        <v>17012</v>
      </c>
      <c r="B216" s="11">
        <v>42177</v>
      </c>
      <c r="C216" s="12">
        <v>11.37</v>
      </c>
      <c r="D216" s="12">
        <v>0.87</v>
      </c>
      <c r="E216" s="17"/>
      <c r="H216" s="121"/>
      <c r="I216" s="10"/>
      <c r="K216" s="27"/>
    </row>
    <row r="217" spans="1:11" x14ac:dyDescent="0.2">
      <c r="A217" s="10">
        <v>17013</v>
      </c>
      <c r="B217" s="11">
        <v>42177</v>
      </c>
      <c r="C217" s="12">
        <v>10.83</v>
      </c>
      <c r="D217" s="12">
        <v>0.83</v>
      </c>
      <c r="E217" s="15" t="s">
        <v>11</v>
      </c>
      <c r="F217" s="33">
        <f>+C211+31.19+C217</f>
        <v>550.80000000000007</v>
      </c>
      <c r="G217" s="34">
        <v>539.95000000000005</v>
      </c>
      <c r="H217" s="118"/>
      <c r="I217" s="10"/>
      <c r="K217" s="27"/>
    </row>
    <row r="218" spans="1:11" x14ac:dyDescent="0.2">
      <c r="A218" s="10">
        <v>17014</v>
      </c>
      <c r="B218" s="11">
        <v>42178</v>
      </c>
      <c r="C218" s="12">
        <v>59.54</v>
      </c>
      <c r="D218" s="12">
        <v>4.54</v>
      </c>
      <c r="E218" s="15" t="s">
        <v>11</v>
      </c>
      <c r="H218" s="118"/>
      <c r="I218" s="10"/>
      <c r="K218" s="27"/>
    </row>
    <row r="219" spans="1:11" x14ac:dyDescent="0.2">
      <c r="A219" s="10">
        <v>17015</v>
      </c>
      <c r="B219" s="11">
        <v>42178</v>
      </c>
      <c r="C219" s="12">
        <v>29.08</v>
      </c>
      <c r="D219" s="12">
        <v>2.2200000000000002</v>
      </c>
      <c r="E219" s="13" t="s">
        <v>392</v>
      </c>
      <c r="F219" s="18"/>
      <c r="G219" s="19"/>
      <c r="H219" s="121"/>
      <c r="I219" s="10"/>
      <c r="K219" s="27"/>
    </row>
    <row r="220" spans="1:11" x14ac:dyDescent="0.2">
      <c r="A220" s="10">
        <v>17016</v>
      </c>
      <c r="B220" s="11">
        <v>42178</v>
      </c>
      <c r="C220" s="12">
        <v>117.99</v>
      </c>
      <c r="D220" s="12">
        <v>8.99</v>
      </c>
      <c r="E220" s="15" t="s">
        <v>393</v>
      </c>
      <c r="H220" s="118"/>
      <c r="I220" s="10"/>
      <c r="K220" s="27"/>
    </row>
    <row r="221" spans="1:11" x14ac:dyDescent="0.2">
      <c r="A221" s="10">
        <v>17017</v>
      </c>
      <c r="B221" s="11">
        <v>42178</v>
      </c>
      <c r="C221" s="12">
        <v>162</v>
      </c>
      <c r="D221" s="12">
        <v>12.35</v>
      </c>
      <c r="E221" s="17"/>
      <c r="F221" s="18"/>
      <c r="G221" s="19"/>
      <c r="H221" s="121"/>
      <c r="I221" s="10"/>
      <c r="K221" s="27"/>
    </row>
    <row r="222" spans="1:11" x14ac:dyDescent="0.2">
      <c r="A222" s="10">
        <v>17018</v>
      </c>
      <c r="B222" s="11">
        <v>42178</v>
      </c>
      <c r="C222" s="12">
        <v>102.84</v>
      </c>
      <c r="D222" s="12">
        <v>7.84</v>
      </c>
      <c r="E222" s="13" t="s">
        <v>394</v>
      </c>
      <c r="H222" s="121"/>
      <c r="I222" s="10"/>
      <c r="K222" s="27"/>
    </row>
    <row r="223" spans="1:11" x14ac:dyDescent="0.2">
      <c r="A223" s="10">
        <v>17019</v>
      </c>
      <c r="B223" s="11">
        <v>42178</v>
      </c>
      <c r="C223" s="12">
        <v>12.45</v>
      </c>
      <c r="D223" s="12">
        <v>0.95</v>
      </c>
      <c r="E223" s="17"/>
      <c r="H223" s="121"/>
      <c r="I223" s="10"/>
      <c r="K223" s="27"/>
    </row>
    <row r="224" spans="1:11" x14ac:dyDescent="0.2">
      <c r="A224" s="10">
        <v>17020</v>
      </c>
      <c r="B224" s="11">
        <v>42178</v>
      </c>
      <c r="C224" s="12">
        <v>148</v>
      </c>
      <c r="D224" s="12"/>
      <c r="E224" s="13" t="s">
        <v>8</v>
      </c>
      <c r="H224" s="121"/>
      <c r="I224" s="10"/>
      <c r="K224" s="27"/>
    </row>
    <row r="225" spans="1:11" x14ac:dyDescent="0.2">
      <c r="A225" s="10">
        <v>17021</v>
      </c>
      <c r="B225" s="11">
        <v>42178</v>
      </c>
      <c r="C225" s="12">
        <v>213.36</v>
      </c>
      <c r="D225" s="12">
        <v>14.36</v>
      </c>
      <c r="E225" s="13"/>
      <c r="H225" s="121"/>
      <c r="I225" s="10"/>
      <c r="K225" s="27"/>
    </row>
    <row r="226" spans="1:11" x14ac:dyDescent="0.2">
      <c r="A226" s="10">
        <v>17022</v>
      </c>
      <c r="B226" s="11">
        <v>42178</v>
      </c>
      <c r="C226" s="12">
        <v>94.37</v>
      </c>
      <c r="D226" s="12"/>
      <c r="E226" s="15" t="s">
        <v>395</v>
      </c>
      <c r="F226" s="33">
        <f>+C218+10.83+60+C226</f>
        <v>224.74</v>
      </c>
      <c r="G226" s="34">
        <v>222.63</v>
      </c>
      <c r="H226" s="118"/>
      <c r="I226" s="10"/>
      <c r="K226" s="27"/>
    </row>
    <row r="227" spans="1:11" x14ac:dyDescent="0.2">
      <c r="A227" s="10">
        <v>17023</v>
      </c>
      <c r="B227" s="11">
        <v>42179</v>
      </c>
      <c r="C227" s="12">
        <v>4.87</v>
      </c>
      <c r="D227" s="12">
        <v>0.37</v>
      </c>
      <c r="E227" s="17"/>
      <c r="H227" s="121"/>
      <c r="I227" s="10"/>
      <c r="K227" s="27"/>
    </row>
    <row r="228" spans="1:11" x14ac:dyDescent="0.2">
      <c r="A228" s="10">
        <v>17024</v>
      </c>
      <c r="B228" s="11">
        <v>42179</v>
      </c>
      <c r="C228" s="12">
        <v>100.71000000000001</v>
      </c>
      <c r="D228" s="12"/>
      <c r="E228" s="15" t="s">
        <v>396</v>
      </c>
      <c r="H228" s="118"/>
      <c r="I228" s="10"/>
      <c r="K228" s="27"/>
    </row>
    <row r="229" spans="1:11" x14ac:dyDescent="0.2">
      <c r="A229" s="10">
        <v>17025</v>
      </c>
      <c r="B229" s="11">
        <v>42179</v>
      </c>
      <c r="C229" s="12">
        <v>22.73</v>
      </c>
      <c r="D229" s="12">
        <v>1.73</v>
      </c>
      <c r="E229" s="15" t="s">
        <v>21</v>
      </c>
      <c r="H229" s="118"/>
      <c r="I229" s="10"/>
      <c r="K229" s="27"/>
    </row>
    <row r="230" spans="1:11" x14ac:dyDescent="0.2">
      <c r="A230" s="10">
        <v>17026</v>
      </c>
      <c r="B230" s="11">
        <v>42179</v>
      </c>
      <c r="C230" s="12">
        <v>85.52</v>
      </c>
      <c r="D230" s="12">
        <v>6.52</v>
      </c>
      <c r="E230" s="15" t="s">
        <v>7</v>
      </c>
      <c r="H230" s="118"/>
      <c r="I230" s="10"/>
      <c r="K230" s="27"/>
    </row>
    <row r="231" spans="1:11" x14ac:dyDescent="0.2">
      <c r="A231" s="10">
        <v>17027</v>
      </c>
      <c r="B231" s="11">
        <v>42179</v>
      </c>
      <c r="C231" s="12">
        <v>19.7</v>
      </c>
      <c r="D231" s="12">
        <v>1.5</v>
      </c>
      <c r="E231" s="15" t="s">
        <v>11</v>
      </c>
      <c r="F231" s="21"/>
      <c r="G231" s="22"/>
      <c r="H231" s="118"/>
      <c r="I231" s="10"/>
      <c r="K231" s="27"/>
    </row>
    <row r="232" spans="1:11" x14ac:dyDescent="0.2">
      <c r="A232" s="10">
        <v>17028</v>
      </c>
      <c r="B232" s="11">
        <v>42179</v>
      </c>
      <c r="C232" s="12">
        <v>10.8</v>
      </c>
      <c r="D232" s="12">
        <v>0.82</v>
      </c>
      <c r="E232" s="15" t="s">
        <v>11</v>
      </c>
      <c r="H232" s="118"/>
      <c r="I232" s="10"/>
      <c r="K232" s="27"/>
    </row>
    <row r="233" spans="1:11" x14ac:dyDescent="0.2">
      <c r="A233" s="10">
        <v>17029</v>
      </c>
      <c r="B233" s="11">
        <v>42179</v>
      </c>
      <c r="C233" s="12">
        <v>25.93</v>
      </c>
      <c r="D233" s="12">
        <v>1.98</v>
      </c>
      <c r="E233" s="15" t="s">
        <v>7</v>
      </c>
      <c r="H233" s="118"/>
      <c r="I233" s="10"/>
      <c r="K233" s="27"/>
    </row>
    <row r="234" spans="1:11" x14ac:dyDescent="0.2">
      <c r="A234" s="10">
        <v>17030</v>
      </c>
      <c r="B234" s="11">
        <v>42179</v>
      </c>
      <c r="C234" s="12">
        <v>34.86</v>
      </c>
      <c r="D234" s="12">
        <v>2.66</v>
      </c>
      <c r="E234" s="15" t="s">
        <v>397</v>
      </c>
      <c r="H234" s="118"/>
      <c r="I234" s="10"/>
      <c r="K234" s="27"/>
    </row>
    <row r="235" spans="1:11" x14ac:dyDescent="0.2">
      <c r="A235" s="10">
        <v>17031</v>
      </c>
      <c r="B235" s="11">
        <v>42179</v>
      </c>
      <c r="C235" s="12">
        <v>15.88</v>
      </c>
      <c r="D235" s="12"/>
      <c r="E235" s="13" t="s">
        <v>8</v>
      </c>
      <c r="H235" s="121"/>
      <c r="I235" s="10"/>
      <c r="K235" s="27"/>
    </row>
    <row r="236" spans="1:11" x14ac:dyDescent="0.2">
      <c r="A236" s="10">
        <v>17032</v>
      </c>
      <c r="B236" s="11">
        <v>42179</v>
      </c>
      <c r="C236" s="12">
        <v>43.08</v>
      </c>
      <c r="D236" s="12">
        <v>3.28</v>
      </c>
      <c r="E236" s="15" t="s">
        <v>11</v>
      </c>
      <c r="F236" s="21"/>
      <c r="G236" s="22"/>
      <c r="H236" s="118"/>
      <c r="I236" s="10"/>
      <c r="K236" s="27"/>
    </row>
    <row r="237" spans="1:11" x14ac:dyDescent="0.2">
      <c r="A237" s="10">
        <v>17033</v>
      </c>
      <c r="B237" s="11">
        <v>42179</v>
      </c>
      <c r="C237" s="12">
        <v>6.99</v>
      </c>
      <c r="D237" s="12">
        <v>0.53</v>
      </c>
      <c r="E237" s="17"/>
      <c r="H237" s="121"/>
      <c r="I237" s="10"/>
      <c r="K237" s="27"/>
    </row>
    <row r="238" spans="1:11" x14ac:dyDescent="0.2">
      <c r="A238" s="10">
        <v>17034</v>
      </c>
      <c r="B238" s="11">
        <v>42179</v>
      </c>
      <c r="C238" s="12">
        <v>11.99</v>
      </c>
      <c r="D238" s="12">
        <v>0.91</v>
      </c>
      <c r="E238" s="17"/>
      <c r="F238" s="33">
        <f>+C230+C231+C232+C233+51.09+C236</f>
        <v>236.12</v>
      </c>
      <c r="G238" s="34">
        <v>231.88</v>
      </c>
      <c r="H238" s="121"/>
      <c r="I238" s="10"/>
      <c r="K238" s="27"/>
    </row>
    <row r="239" spans="1:11" x14ac:dyDescent="0.2">
      <c r="A239" s="10">
        <v>17035</v>
      </c>
      <c r="B239" s="11">
        <v>42180</v>
      </c>
      <c r="C239" s="12">
        <v>108.78999999999999</v>
      </c>
      <c r="D239" s="12">
        <v>8.2899999999999991</v>
      </c>
      <c r="E239" s="15" t="s">
        <v>11</v>
      </c>
      <c r="H239" s="118"/>
      <c r="I239" s="10"/>
      <c r="K239" s="27"/>
    </row>
    <row r="240" spans="1:11" x14ac:dyDescent="0.2">
      <c r="A240" s="10">
        <v>17036</v>
      </c>
      <c r="B240" s="11">
        <v>42180</v>
      </c>
      <c r="C240" s="12">
        <v>88.77</v>
      </c>
      <c r="D240" s="12">
        <v>6.77</v>
      </c>
      <c r="E240" s="15"/>
      <c r="H240" s="118"/>
      <c r="I240" s="10"/>
      <c r="K240" s="27"/>
    </row>
    <row r="241" spans="1:11" x14ac:dyDescent="0.2">
      <c r="A241" s="10">
        <v>17037</v>
      </c>
      <c r="B241" s="11">
        <v>42180</v>
      </c>
      <c r="C241" s="12">
        <v>1.49</v>
      </c>
      <c r="D241" s="12">
        <v>0.11</v>
      </c>
      <c r="E241" s="17"/>
      <c r="F241" s="18"/>
      <c r="G241" s="19"/>
      <c r="H241" s="121"/>
      <c r="I241" s="10"/>
      <c r="K241" s="27"/>
    </row>
    <row r="242" spans="1:11" x14ac:dyDescent="0.2">
      <c r="A242" s="10">
        <v>17038</v>
      </c>
      <c r="B242" s="11">
        <v>42180</v>
      </c>
      <c r="C242" s="12">
        <v>12.99</v>
      </c>
      <c r="D242" s="12">
        <v>0.99</v>
      </c>
      <c r="E242" s="15" t="s">
        <v>11</v>
      </c>
      <c r="F242" s="21"/>
      <c r="G242" s="22"/>
      <c r="H242" s="118"/>
      <c r="I242" s="10"/>
      <c r="K242" s="27"/>
    </row>
    <row r="243" spans="1:11" x14ac:dyDescent="0.2">
      <c r="A243" s="10">
        <v>17039</v>
      </c>
      <c r="B243" s="11">
        <v>42180</v>
      </c>
      <c r="C243" s="12">
        <v>337.2</v>
      </c>
      <c r="D243" s="12">
        <v>25.7</v>
      </c>
      <c r="E243" s="13" t="s">
        <v>398</v>
      </c>
      <c r="H243" s="121"/>
      <c r="I243" s="10"/>
      <c r="K243" s="27"/>
    </row>
    <row r="244" spans="1:11" x14ac:dyDescent="0.2">
      <c r="A244" s="10">
        <v>17040</v>
      </c>
      <c r="B244" s="11">
        <v>42180</v>
      </c>
      <c r="C244" s="12">
        <v>5.41</v>
      </c>
      <c r="D244" s="12">
        <v>0.41</v>
      </c>
      <c r="E244" s="15" t="s">
        <v>11</v>
      </c>
      <c r="H244" s="118"/>
      <c r="I244" s="10"/>
      <c r="K244" s="27"/>
    </row>
    <row r="245" spans="1:11" x14ac:dyDescent="0.2">
      <c r="A245" s="10">
        <v>17041</v>
      </c>
      <c r="B245" s="11">
        <v>42180</v>
      </c>
      <c r="C245" s="12">
        <v>48.71</v>
      </c>
      <c r="D245" s="12">
        <v>3.71</v>
      </c>
      <c r="E245" s="15" t="s">
        <v>21</v>
      </c>
      <c r="H245" s="118"/>
      <c r="I245" s="10"/>
      <c r="K245" s="27"/>
    </row>
    <row r="246" spans="1:11" x14ac:dyDescent="0.2">
      <c r="A246" s="10">
        <v>17042</v>
      </c>
      <c r="B246" s="11">
        <v>42180</v>
      </c>
      <c r="C246" s="12">
        <v>330.16</v>
      </c>
      <c r="D246" s="12">
        <v>25.16</v>
      </c>
      <c r="E246" s="15" t="s">
        <v>11</v>
      </c>
      <c r="H246" s="118"/>
      <c r="I246" s="10"/>
      <c r="K246" s="27"/>
    </row>
    <row r="247" spans="1:11" x14ac:dyDescent="0.2">
      <c r="A247" s="10">
        <v>17043</v>
      </c>
      <c r="B247" s="11">
        <v>42180</v>
      </c>
      <c r="C247" s="12">
        <v>438.40999999999997</v>
      </c>
      <c r="D247" s="12">
        <v>33.409999999999997</v>
      </c>
      <c r="E247" s="15" t="s">
        <v>21</v>
      </c>
      <c r="F247" s="33">
        <f>+C239+C242+C244+C246</f>
        <v>457.35</v>
      </c>
      <c r="G247" s="34">
        <v>452.88</v>
      </c>
      <c r="H247" s="118"/>
      <c r="I247" s="10"/>
      <c r="K247" s="27"/>
    </row>
    <row r="248" spans="1:11" x14ac:dyDescent="0.2">
      <c r="A248" s="10">
        <v>17044</v>
      </c>
      <c r="B248" s="11">
        <v>42181</v>
      </c>
      <c r="C248" s="12">
        <v>623.29999999999995</v>
      </c>
      <c r="D248" s="12">
        <v>47.5</v>
      </c>
      <c r="E248" s="15" t="s">
        <v>11</v>
      </c>
      <c r="H248" s="118"/>
      <c r="I248" s="10"/>
      <c r="K248" s="27"/>
    </row>
    <row r="249" spans="1:11" x14ac:dyDescent="0.2">
      <c r="A249" s="10">
        <v>17045</v>
      </c>
      <c r="B249" s="11">
        <v>42181</v>
      </c>
      <c r="C249" s="12">
        <v>300.94</v>
      </c>
      <c r="D249" s="12">
        <v>22.94</v>
      </c>
      <c r="E249" s="15" t="s">
        <v>399</v>
      </c>
      <c r="H249" s="118"/>
      <c r="I249" s="10"/>
      <c r="K249" s="27"/>
    </row>
    <row r="250" spans="1:11" x14ac:dyDescent="0.2">
      <c r="A250" s="10">
        <v>17046</v>
      </c>
      <c r="B250" s="11">
        <v>42181</v>
      </c>
      <c r="C250" s="12">
        <v>10.39</v>
      </c>
      <c r="D250" s="12">
        <v>0.79</v>
      </c>
      <c r="E250" s="15" t="s">
        <v>11</v>
      </c>
      <c r="H250" s="118"/>
      <c r="I250" s="10"/>
      <c r="K250" s="27"/>
    </row>
    <row r="251" spans="1:11" x14ac:dyDescent="0.2">
      <c r="A251" s="10">
        <v>17047</v>
      </c>
      <c r="B251" s="11">
        <v>42181</v>
      </c>
      <c r="C251" s="12">
        <v>21.65</v>
      </c>
      <c r="D251" s="12">
        <v>1.65</v>
      </c>
      <c r="E251" s="15" t="s">
        <v>21</v>
      </c>
      <c r="H251" s="118"/>
      <c r="I251" s="10"/>
      <c r="K251" s="27"/>
    </row>
    <row r="252" spans="1:11" x14ac:dyDescent="0.2">
      <c r="A252" s="10">
        <v>17048</v>
      </c>
      <c r="B252" s="11">
        <v>42181</v>
      </c>
      <c r="C252" s="12">
        <v>48.71</v>
      </c>
      <c r="D252" s="12">
        <v>3.71</v>
      </c>
      <c r="E252" s="15" t="s">
        <v>11</v>
      </c>
      <c r="H252" s="118"/>
      <c r="I252" s="10"/>
      <c r="K252" s="27"/>
    </row>
    <row r="253" spans="1:11" x14ac:dyDescent="0.2">
      <c r="A253" s="10">
        <v>17049</v>
      </c>
      <c r="B253" s="11">
        <v>42181</v>
      </c>
      <c r="C253" s="12">
        <v>6</v>
      </c>
      <c r="D253" s="12">
        <v>0.46</v>
      </c>
      <c r="E253" s="17"/>
      <c r="F253" s="18"/>
      <c r="G253" s="19"/>
      <c r="H253" s="121"/>
      <c r="I253" s="10"/>
      <c r="K253" s="27"/>
    </row>
    <row r="254" spans="1:11" x14ac:dyDescent="0.2">
      <c r="A254" s="10">
        <v>17050</v>
      </c>
      <c r="B254" s="11">
        <v>42181</v>
      </c>
      <c r="C254" s="12">
        <v>49</v>
      </c>
      <c r="D254" s="12">
        <v>3.73</v>
      </c>
      <c r="E254" s="17"/>
      <c r="F254" s="18"/>
      <c r="G254" s="19"/>
      <c r="H254" s="121"/>
      <c r="I254" s="10"/>
      <c r="K254" s="27"/>
    </row>
    <row r="255" spans="1:11" x14ac:dyDescent="0.2">
      <c r="A255" s="10">
        <v>17051</v>
      </c>
      <c r="B255" s="11">
        <v>42181</v>
      </c>
      <c r="C255" s="12">
        <v>139.63999999999999</v>
      </c>
      <c r="D255" s="12">
        <v>10.64</v>
      </c>
      <c r="E255" s="17"/>
      <c r="F255" s="18"/>
      <c r="G255" s="19"/>
      <c r="H255" s="121"/>
      <c r="I255" s="10"/>
      <c r="K255" s="27"/>
    </row>
    <row r="256" spans="1:11" x14ac:dyDescent="0.2">
      <c r="A256" s="10">
        <v>17052</v>
      </c>
      <c r="B256" s="11">
        <v>42181</v>
      </c>
      <c r="C256" s="12">
        <v>180</v>
      </c>
      <c r="D256" s="12">
        <v>13.72</v>
      </c>
      <c r="E256" s="17"/>
      <c r="H256" s="121"/>
      <c r="I256" s="10"/>
      <c r="K256" s="27"/>
    </row>
    <row r="257" spans="1:11" x14ac:dyDescent="0.2">
      <c r="A257" s="10">
        <v>17053</v>
      </c>
      <c r="B257" s="11">
        <v>42181</v>
      </c>
      <c r="C257" s="12">
        <v>81.140000000000015</v>
      </c>
      <c r="D257" s="12">
        <v>6.18</v>
      </c>
      <c r="E257" s="17"/>
      <c r="F257" s="18"/>
      <c r="G257" s="19"/>
      <c r="H257" s="121"/>
      <c r="I257" s="10"/>
      <c r="K257" s="27"/>
    </row>
    <row r="258" spans="1:11" x14ac:dyDescent="0.2">
      <c r="A258" s="10">
        <v>17054</v>
      </c>
      <c r="B258" s="11">
        <v>42181</v>
      </c>
      <c r="C258" s="12">
        <v>40</v>
      </c>
      <c r="D258" s="12">
        <v>3.05</v>
      </c>
      <c r="E258" s="13" t="s">
        <v>400</v>
      </c>
      <c r="F258" s="34">
        <f>250.06+C248+C250+57.99</f>
        <v>941.7399999999999</v>
      </c>
      <c r="G258" s="34">
        <v>933.24</v>
      </c>
      <c r="H258" s="121"/>
      <c r="I258" s="10"/>
      <c r="K258" s="27"/>
    </row>
    <row r="259" spans="1:11" x14ac:dyDescent="0.2">
      <c r="A259" s="10">
        <v>17055</v>
      </c>
      <c r="B259" s="11">
        <v>42182</v>
      </c>
      <c r="C259" s="12">
        <v>212.71</v>
      </c>
      <c r="D259" s="12">
        <v>16.21</v>
      </c>
      <c r="E259" s="17"/>
      <c r="F259" s="18"/>
      <c r="G259" s="19"/>
      <c r="H259" s="121"/>
      <c r="I259" s="10"/>
      <c r="K259" s="27"/>
    </row>
    <row r="260" spans="1:11" x14ac:dyDescent="0.2">
      <c r="A260" s="10">
        <v>17056</v>
      </c>
      <c r="B260" s="11">
        <v>42182</v>
      </c>
      <c r="C260" s="18">
        <v>142.83999999999997</v>
      </c>
      <c r="D260" s="12">
        <v>10.89</v>
      </c>
      <c r="E260" s="15" t="s">
        <v>11</v>
      </c>
      <c r="F260" s="21"/>
      <c r="G260" s="22"/>
      <c r="H260" s="118"/>
      <c r="I260" s="10"/>
      <c r="K260" s="27"/>
    </row>
    <row r="261" spans="1:11" x14ac:dyDescent="0.2">
      <c r="A261" s="10">
        <v>17057</v>
      </c>
      <c r="B261" s="11">
        <v>42182</v>
      </c>
      <c r="C261" s="18">
        <v>37.830000000000005</v>
      </c>
      <c r="D261" s="12">
        <v>2.88</v>
      </c>
      <c r="E261" s="17"/>
      <c r="H261" s="121"/>
      <c r="I261" s="10"/>
      <c r="K261" s="27"/>
    </row>
    <row r="262" spans="1:11" x14ac:dyDescent="0.2">
      <c r="A262" s="10">
        <v>17058</v>
      </c>
      <c r="B262" s="11">
        <v>42182</v>
      </c>
      <c r="C262" s="18">
        <v>46.55</v>
      </c>
      <c r="D262" s="12">
        <v>3.55</v>
      </c>
      <c r="E262" s="15" t="s">
        <v>11</v>
      </c>
      <c r="F262" s="21"/>
      <c r="G262" s="22"/>
      <c r="H262" s="118"/>
      <c r="I262" s="10"/>
      <c r="K262" s="27"/>
    </row>
    <row r="263" spans="1:11" x14ac:dyDescent="0.2">
      <c r="A263" s="10">
        <v>17059</v>
      </c>
      <c r="B263" s="11">
        <v>42182</v>
      </c>
      <c r="C263" s="18">
        <v>5</v>
      </c>
      <c r="D263" s="12">
        <v>0.38</v>
      </c>
      <c r="E263" s="17"/>
      <c r="H263" s="121"/>
      <c r="I263" s="10"/>
      <c r="K263" s="27"/>
    </row>
    <row r="264" spans="1:11" x14ac:dyDescent="0.2">
      <c r="A264" s="10">
        <v>17060</v>
      </c>
      <c r="B264" s="11">
        <v>42182</v>
      </c>
      <c r="C264" s="18">
        <v>18.997875000000001</v>
      </c>
      <c r="D264" s="12">
        <v>1.447875</v>
      </c>
      <c r="E264" s="15" t="s">
        <v>7</v>
      </c>
      <c r="H264" s="118"/>
      <c r="I264" s="10"/>
      <c r="K264" s="27"/>
    </row>
    <row r="265" spans="1:11" x14ac:dyDescent="0.2">
      <c r="A265" s="10">
        <v>17061</v>
      </c>
      <c r="B265" s="11">
        <v>42182</v>
      </c>
      <c r="C265" s="18">
        <v>64.84</v>
      </c>
      <c r="D265" s="12">
        <v>4.9400000000000004</v>
      </c>
      <c r="E265" s="15" t="s">
        <v>11</v>
      </c>
      <c r="H265" s="118"/>
      <c r="I265" s="10"/>
      <c r="K265" s="27"/>
    </row>
    <row r="266" spans="1:11" x14ac:dyDescent="0.2">
      <c r="A266" s="10">
        <v>17062</v>
      </c>
      <c r="B266" s="11">
        <v>42182</v>
      </c>
      <c r="C266" s="18">
        <v>158.4</v>
      </c>
      <c r="D266" s="12"/>
      <c r="E266" s="15" t="s">
        <v>401</v>
      </c>
      <c r="H266" s="118"/>
      <c r="I266" s="10"/>
      <c r="K266" s="27"/>
    </row>
    <row r="267" spans="1:11" x14ac:dyDescent="0.2">
      <c r="A267" s="10">
        <v>17063</v>
      </c>
      <c r="B267" s="11">
        <v>42182</v>
      </c>
      <c r="C267" s="18">
        <v>19.989999999999998</v>
      </c>
      <c r="D267" s="12">
        <v>1.52</v>
      </c>
      <c r="E267" s="15" t="s">
        <v>11</v>
      </c>
      <c r="H267" s="118"/>
      <c r="I267" s="10"/>
      <c r="K267" s="27"/>
    </row>
    <row r="268" spans="1:11" x14ac:dyDescent="0.2">
      <c r="A268" s="10">
        <v>17064</v>
      </c>
      <c r="B268" s="11">
        <v>42182</v>
      </c>
      <c r="C268" s="18">
        <v>231.76</v>
      </c>
      <c r="D268" s="12">
        <v>17.66</v>
      </c>
      <c r="E268" s="15" t="s">
        <v>7</v>
      </c>
      <c r="F268" s="34">
        <f>+C260+C264+C265+C252+199+20+C262+C267+C268-23.7</f>
        <v>768.98787499999992</v>
      </c>
      <c r="G268" s="34">
        <v>757.38</v>
      </c>
      <c r="H268" s="118"/>
      <c r="I268" s="10"/>
      <c r="K268" s="27"/>
    </row>
    <row r="269" spans="1:11" x14ac:dyDescent="0.2">
      <c r="A269" s="10">
        <v>17065</v>
      </c>
      <c r="B269" s="11">
        <v>42184</v>
      </c>
      <c r="C269" s="18">
        <v>26.85</v>
      </c>
      <c r="D269" s="12">
        <v>2.0499999999999998</v>
      </c>
      <c r="E269" s="15" t="s">
        <v>11</v>
      </c>
      <c r="H269" s="118"/>
      <c r="I269" s="10"/>
      <c r="K269" s="27"/>
    </row>
    <row r="270" spans="1:11" x14ac:dyDescent="0.2">
      <c r="A270" s="10">
        <v>17066</v>
      </c>
      <c r="B270" s="11">
        <v>42184</v>
      </c>
      <c r="C270" s="18">
        <v>65.040000000000006</v>
      </c>
      <c r="D270" s="12">
        <v>4.96</v>
      </c>
      <c r="E270" s="17"/>
      <c r="H270" s="121"/>
      <c r="I270" s="10"/>
      <c r="K270" s="27"/>
    </row>
    <row r="271" spans="1:11" x14ac:dyDescent="0.2">
      <c r="A271" s="10">
        <v>17067</v>
      </c>
      <c r="B271" s="11">
        <v>42184</v>
      </c>
      <c r="C271" s="18">
        <v>200</v>
      </c>
      <c r="D271" s="12"/>
      <c r="E271" s="13" t="s">
        <v>19</v>
      </c>
      <c r="H271" s="121"/>
      <c r="I271" s="10"/>
      <c r="K271" s="27"/>
    </row>
    <row r="272" spans="1:11" x14ac:dyDescent="0.2">
      <c r="A272" s="10">
        <v>17068</v>
      </c>
      <c r="B272" s="11">
        <v>42184</v>
      </c>
      <c r="C272" s="18">
        <v>64.95</v>
      </c>
      <c r="D272" s="12">
        <v>4.95</v>
      </c>
      <c r="E272" s="17"/>
      <c r="F272" s="18"/>
      <c r="G272" s="19"/>
      <c r="H272" s="121"/>
      <c r="I272" s="10"/>
      <c r="K272" s="27"/>
    </row>
    <row r="273" spans="1:11" x14ac:dyDescent="0.2">
      <c r="A273" s="10">
        <v>17069</v>
      </c>
      <c r="B273" s="11">
        <v>42184</v>
      </c>
      <c r="C273" s="18">
        <v>25.93</v>
      </c>
      <c r="D273" s="12">
        <v>1.98</v>
      </c>
      <c r="E273" s="17"/>
      <c r="F273" s="18"/>
      <c r="G273" s="19"/>
      <c r="H273" s="121"/>
      <c r="I273" s="10"/>
      <c r="K273" s="27"/>
    </row>
    <row r="274" spans="1:11" x14ac:dyDescent="0.2">
      <c r="A274" s="10">
        <v>17070</v>
      </c>
      <c r="B274" s="11">
        <v>42184</v>
      </c>
      <c r="C274" s="18">
        <v>16.239999999999998</v>
      </c>
      <c r="D274" s="12">
        <v>1.24</v>
      </c>
      <c r="E274" s="15" t="s">
        <v>11</v>
      </c>
      <c r="F274" s="21"/>
      <c r="G274" s="22"/>
      <c r="H274" s="118"/>
      <c r="I274" s="10"/>
      <c r="K274" s="27"/>
    </row>
    <row r="275" spans="1:11" x14ac:dyDescent="0.2">
      <c r="A275" s="10">
        <v>17071</v>
      </c>
      <c r="B275" s="11">
        <v>42184</v>
      </c>
      <c r="C275" s="18">
        <v>70</v>
      </c>
      <c r="D275" s="12">
        <v>5.33</v>
      </c>
      <c r="E275" s="17"/>
      <c r="H275" s="121"/>
      <c r="I275" s="10"/>
      <c r="K275" s="27"/>
    </row>
    <row r="276" spans="1:11" x14ac:dyDescent="0.2">
      <c r="A276" s="10">
        <v>17072</v>
      </c>
      <c r="B276" s="11">
        <v>42184</v>
      </c>
      <c r="C276" s="18">
        <v>24.9</v>
      </c>
      <c r="D276" s="12">
        <v>1.9</v>
      </c>
      <c r="E276" s="17"/>
      <c r="F276" s="18"/>
      <c r="G276" s="19"/>
      <c r="H276" s="121"/>
      <c r="I276" s="10"/>
      <c r="K276" s="27"/>
    </row>
    <row r="277" spans="1:11" x14ac:dyDescent="0.2">
      <c r="A277" s="10">
        <v>17073</v>
      </c>
      <c r="B277" s="11">
        <v>42184</v>
      </c>
      <c r="C277" s="18">
        <v>280.37</v>
      </c>
      <c r="D277" s="12">
        <v>21.37</v>
      </c>
      <c r="E277" s="13" t="s">
        <v>402</v>
      </c>
      <c r="H277" s="121"/>
      <c r="I277" s="10"/>
      <c r="K277" s="27"/>
    </row>
    <row r="278" spans="1:11" x14ac:dyDescent="0.2">
      <c r="A278" s="10">
        <v>17074</v>
      </c>
      <c r="B278" s="11">
        <v>42184</v>
      </c>
      <c r="C278" s="18">
        <v>162.38</v>
      </c>
      <c r="D278" s="12">
        <v>12.38</v>
      </c>
      <c r="E278" s="15" t="s">
        <v>403</v>
      </c>
      <c r="H278" s="118"/>
      <c r="I278" s="10"/>
      <c r="K278" s="27"/>
    </row>
    <row r="279" spans="1:11" x14ac:dyDescent="0.2">
      <c r="A279" s="10">
        <v>17075</v>
      </c>
      <c r="B279" s="11">
        <v>42184</v>
      </c>
      <c r="C279" s="18">
        <v>0</v>
      </c>
      <c r="D279" s="12">
        <v>0</v>
      </c>
      <c r="E279" s="17"/>
      <c r="F279" s="18"/>
      <c r="G279" s="19"/>
      <c r="H279" s="121"/>
      <c r="I279" s="10"/>
      <c r="K279" s="27"/>
    </row>
    <row r="280" spans="1:11" x14ac:dyDescent="0.2">
      <c r="A280" s="10">
        <v>17076</v>
      </c>
      <c r="B280" s="11">
        <v>42184</v>
      </c>
      <c r="C280" s="18">
        <v>20.57</v>
      </c>
      <c r="D280" s="12">
        <v>1.57</v>
      </c>
      <c r="E280" s="17"/>
      <c r="F280" s="18"/>
      <c r="G280" s="19"/>
      <c r="H280" s="121"/>
      <c r="I280" s="10"/>
      <c r="K280" s="27"/>
    </row>
    <row r="281" spans="1:11" x14ac:dyDescent="0.2">
      <c r="A281" s="10">
        <v>17077</v>
      </c>
      <c r="B281" s="11">
        <v>42184</v>
      </c>
      <c r="C281" s="18">
        <v>51</v>
      </c>
      <c r="D281" s="12"/>
      <c r="E281" s="13" t="s">
        <v>404</v>
      </c>
      <c r="F281" s="18"/>
      <c r="G281" s="19"/>
      <c r="H281" s="121"/>
      <c r="I281" s="10"/>
      <c r="K281" s="27"/>
    </row>
    <row r="282" spans="1:11" x14ac:dyDescent="0.2">
      <c r="A282" s="10">
        <v>17078</v>
      </c>
      <c r="B282" s="11">
        <v>42184</v>
      </c>
      <c r="C282" s="18">
        <v>14</v>
      </c>
      <c r="D282" s="12">
        <v>1.07</v>
      </c>
      <c r="E282" s="17"/>
      <c r="F282" s="34">
        <f>+C269+180.37+75+C274</f>
        <v>298.46000000000004</v>
      </c>
      <c r="G282" s="34">
        <v>293.67</v>
      </c>
      <c r="H282" s="121"/>
      <c r="I282" s="10"/>
      <c r="K282" s="27"/>
    </row>
    <row r="283" spans="1:11" x14ac:dyDescent="0.2">
      <c r="A283" s="10">
        <v>17079</v>
      </c>
      <c r="B283" s="11">
        <v>42185</v>
      </c>
      <c r="C283" s="18">
        <v>21.65</v>
      </c>
      <c r="D283" s="12">
        <v>1.65</v>
      </c>
      <c r="E283" s="17"/>
      <c r="H283" s="121"/>
      <c r="I283" s="10"/>
      <c r="K283" s="27"/>
    </row>
    <row r="284" spans="1:11" x14ac:dyDescent="0.2">
      <c r="A284" s="10">
        <v>17080</v>
      </c>
      <c r="B284" s="11">
        <v>42185</v>
      </c>
      <c r="C284" s="18">
        <v>346.4</v>
      </c>
      <c r="D284" s="12">
        <v>26.4</v>
      </c>
      <c r="E284" s="15" t="s">
        <v>13</v>
      </c>
      <c r="H284" s="118"/>
      <c r="I284" s="10"/>
      <c r="K284" s="27"/>
    </row>
    <row r="285" spans="1:11" x14ac:dyDescent="0.2">
      <c r="A285" s="10">
        <v>17081</v>
      </c>
      <c r="B285" s="11">
        <v>42185</v>
      </c>
      <c r="C285" s="18">
        <v>15.16</v>
      </c>
      <c r="D285" s="12">
        <v>1.1599999999999999</v>
      </c>
      <c r="E285" s="17"/>
      <c r="H285" s="121"/>
      <c r="I285" s="10"/>
      <c r="K285" s="27"/>
    </row>
    <row r="286" spans="1:11" x14ac:dyDescent="0.2">
      <c r="A286" s="10">
        <v>17082</v>
      </c>
      <c r="B286" s="11">
        <v>42185</v>
      </c>
      <c r="C286" s="18">
        <v>142.78</v>
      </c>
      <c r="D286" s="12">
        <v>10.88</v>
      </c>
      <c r="E286" s="15" t="s">
        <v>405</v>
      </c>
      <c r="H286" s="118"/>
      <c r="I286" s="10"/>
      <c r="K286" s="27"/>
    </row>
    <row r="287" spans="1:11" x14ac:dyDescent="0.2">
      <c r="A287" s="10">
        <v>17083</v>
      </c>
      <c r="B287" s="11">
        <v>42185</v>
      </c>
      <c r="C287" s="18">
        <v>165</v>
      </c>
      <c r="D287" s="12">
        <v>12.57</v>
      </c>
      <c r="E287" s="15"/>
      <c r="H287" s="118"/>
      <c r="I287" s="10"/>
      <c r="K287" s="27"/>
    </row>
    <row r="288" spans="1:11" x14ac:dyDescent="0.2">
      <c r="A288" s="10">
        <v>17084</v>
      </c>
      <c r="B288" s="11">
        <v>42185</v>
      </c>
      <c r="C288" s="18">
        <v>5</v>
      </c>
      <c r="D288" s="12">
        <v>0.38</v>
      </c>
      <c r="E288" s="17"/>
      <c r="F288" s="18"/>
      <c r="G288" s="19"/>
      <c r="H288" s="121"/>
      <c r="I288" s="10"/>
      <c r="K288" s="27"/>
    </row>
    <row r="289" spans="1:11" x14ac:dyDescent="0.2">
      <c r="A289" s="10">
        <v>17085</v>
      </c>
      <c r="B289" s="11">
        <v>42185</v>
      </c>
      <c r="C289" s="18">
        <v>10.77</v>
      </c>
      <c r="D289" s="12">
        <v>0.82</v>
      </c>
      <c r="E289" s="17"/>
      <c r="H289" s="121"/>
      <c r="I289" s="10"/>
      <c r="K289" s="27"/>
    </row>
    <row r="290" spans="1:11" x14ac:dyDescent="0.2">
      <c r="A290" s="10">
        <v>17086</v>
      </c>
      <c r="B290" s="11">
        <v>42185</v>
      </c>
      <c r="C290" s="18">
        <v>8</v>
      </c>
      <c r="D290" s="12"/>
      <c r="E290" s="13" t="s">
        <v>19</v>
      </c>
      <c r="H290" s="121"/>
      <c r="I290" s="10"/>
      <c r="K290" s="27"/>
    </row>
    <row r="291" spans="1:11" x14ac:dyDescent="0.2">
      <c r="A291" s="10">
        <v>17087</v>
      </c>
      <c r="B291" s="11">
        <v>42185</v>
      </c>
      <c r="C291" s="18">
        <v>16.239999999999998</v>
      </c>
      <c r="D291" s="12">
        <v>1.24</v>
      </c>
      <c r="E291" s="15" t="s">
        <v>11</v>
      </c>
      <c r="H291" s="118"/>
      <c r="I291" s="10"/>
      <c r="K291" s="27"/>
    </row>
    <row r="292" spans="1:11" x14ac:dyDescent="0.2">
      <c r="A292" s="10">
        <v>17088</v>
      </c>
      <c r="B292" s="11">
        <v>42185</v>
      </c>
      <c r="C292" s="18">
        <v>12</v>
      </c>
      <c r="D292" s="12">
        <v>0.91</v>
      </c>
      <c r="E292" s="17"/>
      <c r="H292" s="121"/>
      <c r="I292" s="10"/>
      <c r="K292" s="27"/>
    </row>
    <row r="293" spans="1:11" x14ac:dyDescent="0.2">
      <c r="A293" s="10">
        <v>17089</v>
      </c>
      <c r="B293" s="11">
        <v>42185</v>
      </c>
      <c r="C293" s="18">
        <v>139</v>
      </c>
      <c r="D293" s="12">
        <v>10.59</v>
      </c>
      <c r="E293" s="17"/>
      <c r="F293" s="34">
        <f>+C284+C291</f>
        <v>362.64</v>
      </c>
      <c r="G293" s="34">
        <v>354.24</v>
      </c>
      <c r="H293" s="121"/>
      <c r="I293" s="10"/>
      <c r="K293" s="27"/>
    </row>
    <row r="294" spans="1:11" x14ac:dyDescent="0.2">
      <c r="E294" s="26"/>
      <c r="F294" s="10"/>
      <c r="H294" s="4"/>
    </row>
    <row r="295" spans="1:11" x14ac:dyDescent="0.2">
      <c r="E295" s="26"/>
      <c r="F295" s="12"/>
      <c r="H295" s="5"/>
      <c r="I295" s="27"/>
      <c r="J295" s="27"/>
    </row>
    <row r="296" spans="1:11" x14ac:dyDescent="0.2">
      <c r="E296" s="26"/>
      <c r="F296" s="12"/>
      <c r="H296" s="5"/>
      <c r="I296" s="27"/>
      <c r="J296" s="27"/>
    </row>
    <row r="297" spans="1:11" x14ac:dyDescent="0.2">
      <c r="E297" s="26"/>
      <c r="F297" s="10"/>
      <c r="H297" s="5"/>
      <c r="I297" s="27"/>
      <c r="J297" s="27"/>
    </row>
    <row r="298" spans="1:11" x14ac:dyDescent="0.2">
      <c r="E298" s="26"/>
      <c r="F298" s="10"/>
      <c r="H298" s="5"/>
      <c r="I298" s="27"/>
    </row>
    <row r="299" spans="1:11" x14ac:dyDescent="0.2">
      <c r="E299" s="26"/>
      <c r="F299" s="12"/>
      <c r="H299" s="5"/>
      <c r="I299" s="27"/>
    </row>
    <row r="300" spans="1:11" x14ac:dyDescent="0.2">
      <c r="E300" s="26"/>
      <c r="F300" s="12"/>
      <c r="H300" s="5"/>
      <c r="I300" s="27"/>
    </row>
    <row r="301" spans="1:11" x14ac:dyDescent="0.2">
      <c r="E301" s="26"/>
      <c r="F301" s="10"/>
      <c r="H301" s="5"/>
      <c r="I301" s="27"/>
      <c r="J301" s="27"/>
    </row>
    <row r="302" spans="1:11" x14ac:dyDescent="0.2">
      <c r="E302" s="26"/>
      <c r="F302" s="12"/>
      <c r="H302" s="5"/>
      <c r="I302" s="27"/>
      <c r="J302" s="27"/>
    </row>
    <row r="303" spans="1:11" x14ac:dyDescent="0.2">
      <c r="E303" s="26"/>
      <c r="F303" s="12"/>
      <c r="H303" s="5"/>
      <c r="I303" s="27"/>
      <c r="J303" s="27"/>
    </row>
    <row r="304" spans="1:11" x14ac:dyDescent="0.2">
      <c r="E304" s="26"/>
      <c r="F304" s="12"/>
      <c r="H304" s="5"/>
      <c r="I304" s="27"/>
      <c r="J304" s="27"/>
    </row>
    <row r="305" spans="5:12" x14ac:dyDescent="0.2">
      <c r="E305" s="26"/>
      <c r="F305" s="12"/>
      <c r="H305" s="5"/>
      <c r="I305" s="27"/>
      <c r="J305" s="27"/>
    </row>
    <row r="306" spans="5:12" x14ac:dyDescent="0.2">
      <c r="E306" s="26"/>
      <c r="F306" s="12"/>
      <c r="H306" s="5"/>
      <c r="I306" s="27"/>
      <c r="J306" s="27"/>
    </row>
    <row r="307" spans="5:12" x14ac:dyDescent="0.2">
      <c r="E307" s="26"/>
      <c r="F307" s="12"/>
      <c r="H307" s="5"/>
      <c r="I307" s="27"/>
      <c r="J307" s="27"/>
    </row>
    <row r="308" spans="5:12" x14ac:dyDescent="0.2">
      <c r="E308" s="26"/>
      <c r="F308" s="25"/>
      <c r="H308" s="5"/>
      <c r="I308" s="27"/>
      <c r="J308" s="27"/>
    </row>
    <row r="309" spans="5:12" x14ac:dyDescent="0.2">
      <c r="E309" s="26"/>
      <c r="F309" s="25"/>
      <c r="G309" s="98"/>
      <c r="H309" s="4"/>
    </row>
    <row r="310" spans="5:12" x14ac:dyDescent="0.2">
      <c r="E310" s="26"/>
      <c r="G310" s="98"/>
    </row>
    <row r="311" spans="5:12" x14ac:dyDescent="0.2">
      <c r="E311" s="26"/>
      <c r="G311" s="98"/>
    </row>
    <row r="312" spans="5:12" x14ac:dyDescent="0.2">
      <c r="E312" s="26"/>
      <c r="G312" s="98"/>
      <c r="H312" s="122"/>
      <c r="I312" s="98"/>
      <c r="J312" s="98"/>
      <c r="K312" s="98"/>
      <c r="L312" s="98"/>
    </row>
    <row r="313" spans="5:12" x14ac:dyDescent="0.2">
      <c r="E313" s="26"/>
      <c r="G313" s="98"/>
      <c r="H313" s="122"/>
      <c r="I313" s="98"/>
      <c r="J313" s="98"/>
      <c r="K313" s="98"/>
      <c r="L313" s="98"/>
    </row>
    <row r="314" spans="5:12" x14ac:dyDescent="0.2">
      <c r="E314" s="26"/>
    </row>
    <row r="315" spans="5:12" x14ac:dyDescent="0.2">
      <c r="E315" s="26"/>
    </row>
    <row r="316" spans="5:12" x14ac:dyDescent="0.2">
      <c r="E316" s="26"/>
    </row>
    <row r="317" spans="5:12" x14ac:dyDescent="0.2">
      <c r="E317" s="26"/>
    </row>
    <row r="318" spans="5:12" x14ac:dyDescent="0.2">
      <c r="E318" s="26"/>
    </row>
    <row r="319" spans="5:12" x14ac:dyDescent="0.2">
      <c r="E319" s="26"/>
    </row>
    <row r="320" spans="5:12" x14ac:dyDescent="0.2">
      <c r="E320" s="26"/>
    </row>
    <row r="321" spans="1:10" x14ac:dyDescent="0.2">
      <c r="E321" s="26"/>
    </row>
    <row r="322" spans="1:10" x14ac:dyDescent="0.2">
      <c r="E322" s="26"/>
    </row>
    <row r="323" spans="1:10" x14ac:dyDescent="0.2">
      <c r="E323" s="26"/>
    </row>
    <row r="324" spans="1:10" x14ac:dyDescent="0.2">
      <c r="E324" s="26"/>
    </row>
    <row r="325" spans="1:10" x14ac:dyDescent="0.2">
      <c r="E325" s="26"/>
    </row>
    <row r="326" spans="1:10" x14ac:dyDescent="0.2">
      <c r="E326" s="26"/>
    </row>
    <row r="327" spans="1:10" x14ac:dyDescent="0.2">
      <c r="E327" s="26"/>
    </row>
    <row r="328" spans="1:10" x14ac:dyDescent="0.2">
      <c r="E328" s="26"/>
    </row>
    <row r="329" spans="1:10" x14ac:dyDescent="0.2">
      <c r="E329" s="26"/>
    </row>
    <row r="330" spans="1:10" s="29" customFormat="1" x14ac:dyDescent="0.2">
      <c r="A330" s="4"/>
      <c r="B330" s="11"/>
      <c r="C330" s="25"/>
      <c r="D330" s="4"/>
      <c r="E330" s="26"/>
      <c r="F330" s="4"/>
      <c r="G330" s="4"/>
      <c r="H330" s="25"/>
      <c r="I330" s="4"/>
      <c r="J330" s="4"/>
    </row>
    <row r="331" spans="1:10" s="29" customFormat="1" x14ac:dyDescent="0.2">
      <c r="A331" s="4"/>
      <c r="B331" s="11"/>
      <c r="C331" s="25"/>
      <c r="D331" s="4"/>
      <c r="E331" s="26"/>
      <c r="F331" s="4"/>
      <c r="G331" s="4"/>
      <c r="H331" s="25"/>
      <c r="I331" s="4"/>
      <c r="J331" s="4"/>
    </row>
    <row r="332" spans="1:10" x14ac:dyDescent="0.2">
      <c r="E332" s="26"/>
    </row>
    <row r="333" spans="1:10" x14ac:dyDescent="0.2">
      <c r="A333" s="29"/>
      <c r="B333" s="30"/>
      <c r="C333" s="31"/>
      <c r="D333" s="29"/>
      <c r="E333" s="32"/>
      <c r="F333" s="29"/>
      <c r="G333" s="29"/>
      <c r="H333" s="31"/>
      <c r="I333" s="29"/>
      <c r="J333" s="29"/>
    </row>
    <row r="334" spans="1:10" x14ac:dyDescent="0.2">
      <c r="A334" s="29"/>
      <c r="B334" s="30"/>
      <c r="C334" s="31"/>
      <c r="D334" s="29"/>
      <c r="E334" s="32"/>
      <c r="F334" s="29"/>
      <c r="G334" s="29"/>
      <c r="H334" s="31"/>
      <c r="I334" s="29"/>
      <c r="J334" s="29"/>
    </row>
    <row r="335" spans="1:10" x14ac:dyDescent="0.2">
      <c r="E335" s="26"/>
    </row>
    <row r="336" spans="1:10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  <row r="3289" spans="5:5" x14ac:dyDescent="0.2">
      <c r="E3289" s="26"/>
    </row>
    <row r="3290" spans="5:5" x14ac:dyDescent="0.2">
      <c r="E3290" s="26"/>
    </row>
    <row r="3291" spans="5:5" x14ac:dyDescent="0.2">
      <c r="E3291" s="26"/>
    </row>
    <row r="3292" spans="5:5" x14ac:dyDescent="0.2">
      <c r="E3292" s="26"/>
    </row>
    <row r="3293" spans="5:5" x14ac:dyDescent="0.2">
      <c r="E3293" s="26"/>
    </row>
    <row r="3294" spans="5:5" x14ac:dyDescent="0.2">
      <c r="E3294" s="26"/>
    </row>
    <row r="3295" spans="5:5" x14ac:dyDescent="0.2">
      <c r="E3295" s="26"/>
    </row>
    <row r="3296" spans="5:5" x14ac:dyDescent="0.2">
      <c r="E3296" s="26"/>
    </row>
    <row r="3297" spans="5:5" x14ac:dyDescent="0.2">
      <c r="E3297" s="26"/>
    </row>
    <row r="3298" spans="5:5" x14ac:dyDescent="0.2">
      <c r="E3298" s="26"/>
    </row>
    <row r="3299" spans="5:5" x14ac:dyDescent="0.2">
      <c r="E3299" s="26"/>
    </row>
    <row r="3300" spans="5:5" x14ac:dyDescent="0.2">
      <c r="E3300" s="26"/>
    </row>
    <row r="3301" spans="5:5" x14ac:dyDescent="0.2">
      <c r="E3301" s="26"/>
    </row>
    <row r="3302" spans="5:5" x14ac:dyDescent="0.2">
      <c r="E3302" s="26"/>
    </row>
    <row r="3303" spans="5:5" x14ac:dyDescent="0.2">
      <c r="E3303" s="26"/>
    </row>
    <row r="3304" spans="5:5" x14ac:dyDescent="0.2">
      <c r="E3304" s="26"/>
    </row>
    <row r="3305" spans="5:5" x14ac:dyDescent="0.2">
      <c r="E3305" s="26"/>
    </row>
    <row r="3306" spans="5:5" x14ac:dyDescent="0.2">
      <c r="E3306" s="26"/>
    </row>
    <row r="3307" spans="5:5" x14ac:dyDescent="0.2">
      <c r="E3307" s="26"/>
    </row>
    <row r="3308" spans="5:5" x14ac:dyDescent="0.2">
      <c r="E3308" s="26"/>
    </row>
    <row r="3309" spans="5:5" x14ac:dyDescent="0.2">
      <c r="E3309" s="2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3290"/>
  <sheetViews>
    <sheetView topLeftCell="A228" workbookViewId="0">
      <selection activeCell="A273" sqref="A273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SUM(C3:C472)</f>
        <v>32227.116400000003</v>
      </c>
      <c r="D1" s="3">
        <f>SUM(D275:D472)</f>
        <v>0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16528</v>
      </c>
      <c r="B3" s="11">
        <v>42125</v>
      </c>
      <c r="C3" s="12">
        <v>24.9</v>
      </c>
      <c r="D3" s="12">
        <v>1.9</v>
      </c>
      <c r="E3" s="15" t="s">
        <v>7</v>
      </c>
      <c r="F3" s="10"/>
      <c r="G3" s="10"/>
      <c r="H3" s="10"/>
      <c r="I3" s="10"/>
    </row>
    <row r="4" spans="1:10" x14ac:dyDescent="0.2">
      <c r="A4" s="10">
        <v>16529</v>
      </c>
      <c r="B4" s="11">
        <v>42125</v>
      </c>
      <c r="C4" s="12">
        <v>112.58</v>
      </c>
      <c r="D4" s="12">
        <v>8.58</v>
      </c>
      <c r="E4" s="15" t="s">
        <v>11</v>
      </c>
      <c r="F4" s="10"/>
      <c r="G4" s="10"/>
      <c r="H4" s="10"/>
      <c r="I4" s="10"/>
    </row>
    <row r="5" spans="1:10" x14ac:dyDescent="0.2">
      <c r="A5" s="10">
        <v>16530</v>
      </c>
      <c r="B5" s="11">
        <v>42125</v>
      </c>
      <c r="C5" s="12">
        <v>45.410000000000004</v>
      </c>
      <c r="D5" s="12">
        <v>3.46</v>
      </c>
      <c r="E5" s="15" t="s">
        <v>7</v>
      </c>
      <c r="F5" s="10"/>
      <c r="G5" s="10"/>
      <c r="H5" s="10"/>
      <c r="I5" s="10"/>
    </row>
    <row r="6" spans="1:10" x14ac:dyDescent="0.2">
      <c r="A6" s="10">
        <v>16531</v>
      </c>
      <c r="B6" s="11">
        <v>42125</v>
      </c>
      <c r="C6" s="12">
        <v>22</v>
      </c>
      <c r="D6" s="12">
        <v>1.68</v>
      </c>
      <c r="E6" s="15" t="s">
        <v>11</v>
      </c>
      <c r="F6" s="10"/>
      <c r="G6" s="10"/>
      <c r="H6" s="10"/>
      <c r="I6" s="10"/>
    </row>
    <row r="7" spans="1:10" x14ac:dyDescent="0.2">
      <c r="A7" s="10">
        <v>16532</v>
      </c>
      <c r="B7" s="11">
        <v>42125</v>
      </c>
      <c r="C7" s="12">
        <v>-125.57</v>
      </c>
      <c r="D7" s="12">
        <v>-9.57</v>
      </c>
      <c r="E7" s="15" t="s">
        <v>21</v>
      </c>
      <c r="F7" s="10"/>
      <c r="G7" s="10"/>
      <c r="H7" s="10"/>
      <c r="I7" s="10"/>
    </row>
    <row r="8" spans="1:10" x14ac:dyDescent="0.2">
      <c r="A8" s="10">
        <v>16533</v>
      </c>
      <c r="B8" s="11">
        <v>42125</v>
      </c>
      <c r="C8" s="12">
        <v>48.71</v>
      </c>
      <c r="D8" s="12">
        <v>3.71</v>
      </c>
      <c r="E8" s="15" t="s">
        <v>11</v>
      </c>
      <c r="F8" s="10"/>
      <c r="G8" s="10"/>
      <c r="H8" s="10"/>
      <c r="I8" s="10"/>
    </row>
    <row r="9" spans="1:10" x14ac:dyDescent="0.2">
      <c r="A9" s="10">
        <v>16534</v>
      </c>
      <c r="B9" s="11">
        <v>42125</v>
      </c>
      <c r="C9" s="12">
        <v>114.47</v>
      </c>
      <c r="D9" s="12">
        <v>8.7200000000000006</v>
      </c>
      <c r="E9" s="17"/>
      <c r="F9" s="12"/>
      <c r="G9" s="12"/>
      <c r="H9" s="12"/>
      <c r="I9" s="10"/>
    </row>
    <row r="10" spans="1:10" x14ac:dyDescent="0.2">
      <c r="A10" s="10">
        <v>16535</v>
      </c>
      <c r="B10" s="11">
        <v>42125</v>
      </c>
      <c r="C10" s="12">
        <v>25.680000000000003</v>
      </c>
      <c r="D10" s="12">
        <v>1.96</v>
      </c>
      <c r="E10" s="17"/>
      <c r="F10" s="12"/>
      <c r="G10" s="12"/>
      <c r="H10" s="12"/>
      <c r="I10" s="10"/>
    </row>
    <row r="11" spans="1:10" x14ac:dyDescent="0.2">
      <c r="A11" s="10">
        <v>16536</v>
      </c>
      <c r="B11" s="11">
        <v>42125</v>
      </c>
      <c r="C11" s="12">
        <v>6.93</v>
      </c>
      <c r="D11" s="12"/>
      <c r="E11" s="15" t="s">
        <v>11</v>
      </c>
      <c r="H11" s="10"/>
      <c r="I11" s="10"/>
    </row>
    <row r="12" spans="1:10" x14ac:dyDescent="0.2">
      <c r="A12" s="10">
        <v>16537</v>
      </c>
      <c r="B12" s="11">
        <v>42125</v>
      </c>
      <c r="C12" s="12">
        <v>24.84</v>
      </c>
      <c r="D12" s="12">
        <v>1.89</v>
      </c>
      <c r="E12" s="15" t="s">
        <v>7</v>
      </c>
      <c r="H12" s="10"/>
      <c r="I12" s="10"/>
    </row>
    <row r="13" spans="1:10" x14ac:dyDescent="0.2">
      <c r="A13" s="10">
        <v>16538</v>
      </c>
      <c r="B13" s="11">
        <v>42125</v>
      </c>
      <c r="C13" s="12">
        <v>145</v>
      </c>
      <c r="D13" s="12"/>
      <c r="E13" s="13" t="s">
        <v>8</v>
      </c>
      <c r="H13" s="12"/>
      <c r="I13" s="10"/>
    </row>
    <row r="14" spans="1:10" x14ac:dyDescent="0.2">
      <c r="A14" s="10">
        <v>16539</v>
      </c>
      <c r="B14" s="11">
        <v>42125</v>
      </c>
      <c r="C14" s="12">
        <v>337.74</v>
      </c>
      <c r="D14" s="12">
        <v>25.74</v>
      </c>
      <c r="E14" s="15" t="s">
        <v>343</v>
      </c>
      <c r="H14" s="10"/>
      <c r="I14" s="10"/>
    </row>
    <row r="15" spans="1:10" x14ac:dyDescent="0.2">
      <c r="A15" s="10">
        <v>16540</v>
      </c>
      <c r="B15" s="11">
        <v>42125</v>
      </c>
      <c r="C15" s="12">
        <v>156.96</v>
      </c>
      <c r="D15" s="12">
        <v>11.96</v>
      </c>
      <c r="E15" s="17"/>
      <c r="H15" s="12"/>
      <c r="I15" s="10"/>
    </row>
    <row r="16" spans="1:10" x14ac:dyDescent="0.2">
      <c r="A16" s="10">
        <v>16541</v>
      </c>
      <c r="B16" s="11">
        <v>42125</v>
      </c>
      <c r="C16" s="12">
        <v>18.5</v>
      </c>
      <c r="D16" s="12"/>
      <c r="E16" s="13" t="s">
        <v>8</v>
      </c>
      <c r="F16" s="33">
        <f>+C3+C4+C5+C6+C8+C11+C12+237.74+28</f>
        <v>551.1099999999999</v>
      </c>
      <c r="G16" s="34">
        <v>545.47</v>
      </c>
      <c r="H16" s="12"/>
      <c r="I16" s="10"/>
    </row>
    <row r="17" spans="1:9" x14ac:dyDescent="0.2">
      <c r="A17" s="10">
        <v>16542</v>
      </c>
      <c r="B17" s="11">
        <v>42126</v>
      </c>
      <c r="C17" s="12">
        <v>9.74</v>
      </c>
      <c r="D17" s="12">
        <v>0.74</v>
      </c>
      <c r="E17" s="17"/>
      <c r="H17" s="12"/>
      <c r="I17" s="10"/>
    </row>
    <row r="18" spans="1:9" x14ac:dyDescent="0.2">
      <c r="A18" s="10">
        <v>16543</v>
      </c>
      <c r="B18" s="11">
        <v>42126</v>
      </c>
      <c r="C18" s="12">
        <v>11</v>
      </c>
      <c r="D18" s="12">
        <v>0.84</v>
      </c>
      <c r="E18" s="17"/>
      <c r="F18" s="18"/>
      <c r="G18" s="19"/>
      <c r="H18" s="12"/>
      <c r="I18" s="10"/>
    </row>
    <row r="19" spans="1:9" x14ac:dyDescent="0.2">
      <c r="A19" s="10">
        <v>16544</v>
      </c>
      <c r="B19" s="11">
        <v>42126</v>
      </c>
      <c r="C19" s="12">
        <v>47.42</v>
      </c>
      <c r="D19" s="12">
        <v>3.61</v>
      </c>
      <c r="E19" s="15" t="s">
        <v>11</v>
      </c>
      <c r="F19" s="21"/>
      <c r="G19" s="22"/>
      <c r="H19" s="10"/>
      <c r="I19" s="10"/>
    </row>
    <row r="20" spans="1:9" x14ac:dyDescent="0.2">
      <c r="A20" s="10">
        <v>16545</v>
      </c>
      <c r="B20" s="11">
        <v>42126</v>
      </c>
      <c r="C20" s="12">
        <v>329.59000000000003</v>
      </c>
      <c r="D20" s="12">
        <v>25.12</v>
      </c>
      <c r="E20" s="15" t="s">
        <v>11</v>
      </c>
      <c r="F20" s="21"/>
      <c r="G20" s="22"/>
      <c r="H20" s="10"/>
      <c r="I20" s="10"/>
    </row>
    <row r="21" spans="1:9" x14ac:dyDescent="0.2">
      <c r="A21" s="10">
        <v>16546</v>
      </c>
      <c r="B21" s="11">
        <v>42126</v>
      </c>
      <c r="C21" s="12">
        <v>10.83</v>
      </c>
      <c r="D21" s="12">
        <v>0.83</v>
      </c>
      <c r="E21" s="17"/>
      <c r="H21" s="12"/>
      <c r="I21" s="10"/>
    </row>
    <row r="22" spans="1:9" x14ac:dyDescent="0.2">
      <c r="A22" s="10">
        <v>16547</v>
      </c>
      <c r="B22" s="11">
        <v>42126</v>
      </c>
      <c r="C22" s="12">
        <v>27.06</v>
      </c>
      <c r="D22" s="12">
        <v>2.06</v>
      </c>
      <c r="E22" s="17"/>
      <c r="H22" s="12"/>
      <c r="I22" s="10"/>
    </row>
    <row r="23" spans="1:9" x14ac:dyDescent="0.2">
      <c r="A23" s="10">
        <v>16548</v>
      </c>
      <c r="B23" s="11">
        <v>42126</v>
      </c>
      <c r="C23" s="12">
        <v>21.65</v>
      </c>
      <c r="D23" s="12">
        <v>1.65</v>
      </c>
      <c r="E23" s="15" t="s">
        <v>11</v>
      </c>
      <c r="H23" s="10"/>
      <c r="I23" s="10"/>
    </row>
    <row r="24" spans="1:9" x14ac:dyDescent="0.2">
      <c r="A24" s="10">
        <v>16549</v>
      </c>
      <c r="B24" s="11">
        <v>42126</v>
      </c>
      <c r="C24" s="12">
        <v>111.39</v>
      </c>
      <c r="D24" s="12">
        <v>8.49</v>
      </c>
      <c r="E24" s="15" t="s">
        <v>7</v>
      </c>
      <c r="F24" s="21"/>
      <c r="G24" s="22"/>
      <c r="H24" s="10"/>
      <c r="I24" s="10"/>
    </row>
    <row r="25" spans="1:9" x14ac:dyDescent="0.2">
      <c r="A25" s="10">
        <v>16550</v>
      </c>
      <c r="B25" s="11">
        <v>42126</v>
      </c>
      <c r="C25" s="12">
        <v>97.43</v>
      </c>
      <c r="D25" s="12">
        <v>7.43</v>
      </c>
      <c r="E25" s="15" t="s">
        <v>13</v>
      </c>
      <c r="H25" s="10"/>
      <c r="I25" s="10"/>
    </row>
    <row r="26" spans="1:9" x14ac:dyDescent="0.2">
      <c r="A26" s="10">
        <v>16551</v>
      </c>
      <c r="B26" s="11">
        <v>42126</v>
      </c>
      <c r="C26" s="12">
        <v>286.86</v>
      </c>
      <c r="D26" s="12">
        <v>21.86</v>
      </c>
      <c r="E26" s="17"/>
      <c r="F26" s="18"/>
      <c r="G26" s="19"/>
      <c r="H26" s="12"/>
      <c r="I26" s="10"/>
    </row>
    <row r="27" spans="1:9" x14ac:dyDescent="0.2">
      <c r="A27" s="10">
        <v>16552</v>
      </c>
      <c r="B27" s="11">
        <v>42126</v>
      </c>
      <c r="C27" s="12">
        <v>41.14</v>
      </c>
      <c r="D27" s="12">
        <v>3.14</v>
      </c>
      <c r="E27" s="15" t="s">
        <v>11</v>
      </c>
      <c r="H27" s="10"/>
      <c r="I27" s="10"/>
    </row>
    <row r="28" spans="1:9" x14ac:dyDescent="0.2">
      <c r="A28" s="10">
        <v>16553</v>
      </c>
      <c r="B28" s="11">
        <v>42126</v>
      </c>
      <c r="C28" s="12">
        <v>23.82</v>
      </c>
      <c r="D28" s="12">
        <v>1.82</v>
      </c>
      <c r="E28" s="15" t="s">
        <v>11</v>
      </c>
      <c r="F28" s="33">
        <f>93.48+72.42+C20+C23+C24+C25+C27+C28</f>
        <v>790.92000000000007</v>
      </c>
      <c r="G28" s="34">
        <v>783.04</v>
      </c>
      <c r="H28" s="10"/>
      <c r="I28" s="10"/>
    </row>
    <row r="29" spans="1:9" x14ac:dyDescent="0.2">
      <c r="A29" s="10">
        <v>16554</v>
      </c>
      <c r="B29" s="11">
        <v>42128</v>
      </c>
      <c r="C29" s="12">
        <v>280.37</v>
      </c>
      <c r="D29" s="12">
        <v>21.37</v>
      </c>
      <c r="E29" s="15" t="s">
        <v>13</v>
      </c>
      <c r="H29" s="10"/>
      <c r="I29" s="10"/>
    </row>
    <row r="30" spans="1:9" x14ac:dyDescent="0.2">
      <c r="A30" s="10">
        <v>16555</v>
      </c>
      <c r="B30" s="11">
        <v>42128</v>
      </c>
      <c r="C30" s="12">
        <v>92.01</v>
      </c>
      <c r="D30" s="12">
        <v>7.01</v>
      </c>
      <c r="E30" s="15" t="s">
        <v>11</v>
      </c>
      <c r="H30" s="10"/>
      <c r="I30" s="10"/>
    </row>
    <row r="31" spans="1:9" x14ac:dyDescent="0.2">
      <c r="A31" s="10">
        <v>16556</v>
      </c>
      <c r="B31" s="11">
        <v>42128</v>
      </c>
      <c r="C31" s="12">
        <v>97.37</v>
      </c>
      <c r="D31" s="12">
        <v>7.42</v>
      </c>
      <c r="E31" s="17"/>
      <c r="F31" s="18"/>
      <c r="G31" s="19"/>
      <c r="H31" s="12"/>
      <c r="I31" s="10"/>
    </row>
    <row r="32" spans="1:9" x14ac:dyDescent="0.2">
      <c r="A32" s="10">
        <v>16557</v>
      </c>
      <c r="B32" s="11">
        <v>42128</v>
      </c>
      <c r="C32" s="12">
        <v>73.61</v>
      </c>
      <c r="D32" s="12">
        <v>5.61</v>
      </c>
      <c r="E32" s="15" t="s">
        <v>21</v>
      </c>
      <c r="H32" s="10"/>
      <c r="I32" s="10"/>
    </row>
    <row r="33" spans="1:9" x14ac:dyDescent="0.2">
      <c r="A33" s="10">
        <v>16558</v>
      </c>
      <c r="B33" s="11">
        <v>42128</v>
      </c>
      <c r="C33" s="12">
        <v>56</v>
      </c>
      <c r="D33" s="12">
        <v>4.2699999999999996</v>
      </c>
      <c r="E33" s="17"/>
      <c r="H33" s="12"/>
      <c r="I33" s="10"/>
    </row>
    <row r="34" spans="1:9" x14ac:dyDescent="0.2">
      <c r="A34" s="10">
        <v>16559</v>
      </c>
      <c r="B34" s="11">
        <v>42128</v>
      </c>
      <c r="C34" s="12">
        <v>87.68</v>
      </c>
      <c r="D34" s="12">
        <v>6.68</v>
      </c>
      <c r="E34" s="13" t="s">
        <v>344</v>
      </c>
      <c r="F34" s="18"/>
      <c r="G34" s="19"/>
      <c r="H34" s="12"/>
      <c r="I34" s="10"/>
    </row>
    <row r="35" spans="1:9" x14ac:dyDescent="0.2">
      <c r="A35" s="10">
        <v>16560</v>
      </c>
      <c r="B35" s="11">
        <v>42128</v>
      </c>
      <c r="C35" s="12">
        <v>199.18</v>
      </c>
      <c r="D35" s="12">
        <v>15.18</v>
      </c>
      <c r="E35" s="15"/>
      <c r="H35" s="10"/>
      <c r="I35" s="10"/>
    </row>
    <row r="36" spans="1:9" x14ac:dyDescent="0.2">
      <c r="A36" s="10">
        <v>16561</v>
      </c>
      <c r="B36" s="11">
        <v>42128</v>
      </c>
      <c r="C36" s="12">
        <v>13</v>
      </c>
      <c r="D36" s="12">
        <v>0.99</v>
      </c>
      <c r="E36" s="17"/>
      <c r="H36" s="12"/>
      <c r="I36" s="10"/>
    </row>
    <row r="37" spans="1:9" x14ac:dyDescent="0.2">
      <c r="A37" s="10">
        <v>16562</v>
      </c>
      <c r="B37" s="11">
        <v>42128</v>
      </c>
      <c r="C37" s="12">
        <v>135</v>
      </c>
      <c r="D37" s="12">
        <v>10.29</v>
      </c>
      <c r="E37" s="17"/>
      <c r="F37" s="33">
        <f>+C29+48.71+C30+67.37</f>
        <v>488.46</v>
      </c>
      <c r="G37" s="34">
        <v>480.37</v>
      </c>
      <c r="H37" s="12"/>
      <c r="I37" s="10"/>
    </row>
    <row r="38" spans="1:9" x14ac:dyDescent="0.2">
      <c r="A38" s="10">
        <v>16563</v>
      </c>
      <c r="B38" s="11">
        <v>42129</v>
      </c>
      <c r="C38" s="12">
        <v>57</v>
      </c>
      <c r="D38" s="12"/>
      <c r="E38" s="15" t="s">
        <v>17</v>
      </c>
      <c r="H38" s="10"/>
      <c r="I38" s="10"/>
    </row>
    <row r="39" spans="1:9" x14ac:dyDescent="0.2">
      <c r="A39" s="10">
        <v>16564</v>
      </c>
      <c r="B39" s="11">
        <v>42129</v>
      </c>
      <c r="C39" s="12">
        <v>101.76</v>
      </c>
      <c r="D39" s="12">
        <v>7.76</v>
      </c>
      <c r="E39" s="15"/>
      <c r="F39" s="21"/>
      <c r="G39" s="22"/>
      <c r="H39" s="10"/>
      <c r="I39" s="10"/>
    </row>
    <row r="40" spans="1:9" x14ac:dyDescent="0.2">
      <c r="A40" s="10">
        <v>16565</v>
      </c>
      <c r="B40" s="11">
        <v>42129</v>
      </c>
      <c r="C40" s="12">
        <v>86.6</v>
      </c>
      <c r="D40" s="12">
        <v>6.6</v>
      </c>
      <c r="E40" s="15" t="s">
        <v>11</v>
      </c>
      <c r="H40" s="10"/>
      <c r="I40" s="10"/>
    </row>
    <row r="41" spans="1:9" x14ac:dyDescent="0.2">
      <c r="A41" s="10">
        <v>16566</v>
      </c>
      <c r="B41" s="11">
        <v>42129</v>
      </c>
      <c r="C41" s="12">
        <v>43.19</v>
      </c>
      <c r="D41" s="12">
        <v>3.29</v>
      </c>
      <c r="E41" s="17"/>
      <c r="F41" s="18"/>
      <c r="G41" s="19"/>
      <c r="H41" s="12"/>
      <c r="I41" s="10"/>
    </row>
    <row r="42" spans="1:9" x14ac:dyDescent="0.2">
      <c r="A42" s="10">
        <v>16567</v>
      </c>
      <c r="B42" s="11">
        <v>42129</v>
      </c>
      <c r="C42" s="12">
        <v>9.34</v>
      </c>
      <c r="D42" s="12">
        <v>0.71</v>
      </c>
      <c r="E42" s="15" t="s">
        <v>11</v>
      </c>
      <c r="H42" s="10"/>
      <c r="I42" s="10"/>
    </row>
    <row r="43" spans="1:9" x14ac:dyDescent="0.2">
      <c r="A43" s="10">
        <v>16568</v>
      </c>
      <c r="B43" s="11">
        <v>42129</v>
      </c>
      <c r="C43" s="12">
        <v>35</v>
      </c>
      <c r="D43" s="12">
        <v>2.67</v>
      </c>
      <c r="E43" s="17"/>
      <c r="H43" s="12"/>
      <c r="I43" s="10"/>
    </row>
    <row r="44" spans="1:9" x14ac:dyDescent="0.2">
      <c r="A44" s="10">
        <v>16569</v>
      </c>
      <c r="B44" s="11">
        <v>42129</v>
      </c>
      <c r="C44" s="12">
        <v>129.9</v>
      </c>
      <c r="D44" s="12">
        <v>9.9</v>
      </c>
      <c r="E44" s="17"/>
      <c r="F44" s="18"/>
      <c r="G44" s="19"/>
      <c r="H44" s="12"/>
      <c r="I44" s="10"/>
    </row>
    <row r="45" spans="1:9" x14ac:dyDescent="0.2">
      <c r="A45" s="10">
        <v>16570</v>
      </c>
      <c r="B45" s="11">
        <v>42129</v>
      </c>
      <c r="C45" s="12">
        <v>108.25</v>
      </c>
      <c r="D45" s="12">
        <v>8.25</v>
      </c>
      <c r="E45" s="15" t="s">
        <v>345</v>
      </c>
      <c r="F45" s="21"/>
      <c r="G45" s="22"/>
      <c r="H45" s="10"/>
      <c r="I45" s="10"/>
    </row>
    <row r="46" spans="1:9" x14ac:dyDescent="0.2">
      <c r="A46" s="10">
        <v>16571</v>
      </c>
      <c r="B46" s="11">
        <v>42129</v>
      </c>
      <c r="C46" s="12">
        <v>90</v>
      </c>
      <c r="D46" s="12"/>
      <c r="E46" s="15" t="s">
        <v>281</v>
      </c>
      <c r="H46" s="10"/>
      <c r="I46" s="10"/>
    </row>
    <row r="47" spans="1:9" x14ac:dyDescent="0.2">
      <c r="A47" s="10">
        <v>16572</v>
      </c>
      <c r="B47" s="11">
        <v>42129</v>
      </c>
      <c r="C47" s="12">
        <v>5.36</v>
      </c>
      <c r="D47" s="12">
        <v>0.41</v>
      </c>
      <c r="E47" s="17"/>
      <c r="F47" s="18"/>
      <c r="G47" s="19"/>
      <c r="H47" s="12"/>
      <c r="I47" s="10"/>
    </row>
    <row r="48" spans="1:9" x14ac:dyDescent="0.2">
      <c r="A48" s="10">
        <v>16573</v>
      </c>
      <c r="B48" s="11">
        <v>42129</v>
      </c>
      <c r="C48" s="12">
        <v>189.98</v>
      </c>
      <c r="D48" s="12">
        <v>14.48</v>
      </c>
      <c r="E48" s="13" t="s">
        <v>346</v>
      </c>
      <c r="F48" s="18"/>
      <c r="G48" s="19"/>
      <c r="H48" s="12"/>
      <c r="I48" s="10"/>
    </row>
    <row r="49" spans="1:9" x14ac:dyDescent="0.2">
      <c r="A49" s="10">
        <v>16574</v>
      </c>
      <c r="B49" s="11">
        <v>42129</v>
      </c>
      <c r="C49" s="12">
        <v>98.000000000000014</v>
      </c>
      <c r="D49" s="12">
        <v>7.47</v>
      </c>
      <c r="E49" s="17"/>
      <c r="F49" s="18"/>
      <c r="G49" s="19"/>
      <c r="H49" s="12"/>
      <c r="I49" s="10"/>
    </row>
    <row r="50" spans="1:9" x14ac:dyDescent="0.2">
      <c r="A50" s="10">
        <v>16575</v>
      </c>
      <c r="B50" s="11">
        <v>42129</v>
      </c>
      <c r="C50" s="12">
        <v>572.1</v>
      </c>
      <c r="D50" s="12">
        <v>43.6</v>
      </c>
      <c r="E50" s="15" t="s">
        <v>347</v>
      </c>
      <c r="H50" s="10"/>
      <c r="I50" s="10"/>
    </row>
    <row r="51" spans="1:9" x14ac:dyDescent="0.2">
      <c r="A51" s="10">
        <v>16576</v>
      </c>
      <c r="B51" s="11">
        <v>42129</v>
      </c>
      <c r="C51" s="12">
        <v>0</v>
      </c>
      <c r="D51" s="12">
        <v>0</v>
      </c>
      <c r="E51" s="13" t="s">
        <v>348</v>
      </c>
      <c r="H51" s="12"/>
      <c r="I51" s="10"/>
    </row>
    <row r="52" spans="1:9" x14ac:dyDescent="0.2">
      <c r="A52" s="10">
        <v>16577</v>
      </c>
      <c r="B52" s="11">
        <v>42129</v>
      </c>
      <c r="C52" s="12">
        <v>40.590000000000003</v>
      </c>
      <c r="D52" s="12">
        <v>3.09</v>
      </c>
      <c r="E52" s="17"/>
      <c r="F52" s="18"/>
      <c r="G52" s="19"/>
      <c r="H52" s="12"/>
      <c r="I52" s="10"/>
    </row>
    <row r="53" spans="1:9" x14ac:dyDescent="0.2">
      <c r="A53" s="10">
        <v>16578</v>
      </c>
      <c r="B53" s="11">
        <v>42129</v>
      </c>
      <c r="C53" s="12">
        <v>0</v>
      </c>
      <c r="D53" s="12">
        <v>0</v>
      </c>
      <c r="E53" s="15" t="s">
        <v>349</v>
      </c>
      <c r="H53" s="10"/>
      <c r="I53" s="10"/>
    </row>
    <row r="54" spans="1:9" x14ac:dyDescent="0.2">
      <c r="A54" s="10">
        <v>16579</v>
      </c>
      <c r="B54" s="11">
        <v>42129</v>
      </c>
      <c r="C54" s="12">
        <v>41.76</v>
      </c>
      <c r="D54" s="12"/>
      <c r="E54" s="13" t="s">
        <v>8</v>
      </c>
      <c r="H54" s="12"/>
      <c r="I54" s="10"/>
    </row>
    <row r="55" spans="1:9" x14ac:dyDescent="0.2">
      <c r="A55" s="10">
        <v>16580</v>
      </c>
      <c r="B55" s="11">
        <v>42129</v>
      </c>
      <c r="C55" s="12">
        <v>8</v>
      </c>
      <c r="D55" s="12">
        <v>0.61</v>
      </c>
      <c r="E55" s="13"/>
      <c r="F55" s="33">
        <f>360+C38+C40+C42</f>
        <v>512.94000000000005</v>
      </c>
      <c r="G55" s="34">
        <v>502.91</v>
      </c>
      <c r="H55" s="12"/>
      <c r="I55" s="10"/>
    </row>
    <row r="56" spans="1:9" x14ac:dyDescent="0.2">
      <c r="A56" s="10">
        <v>16581</v>
      </c>
      <c r="B56" s="11">
        <v>42130</v>
      </c>
      <c r="C56" s="12">
        <v>21.58</v>
      </c>
      <c r="D56" s="12"/>
      <c r="E56" s="13" t="s">
        <v>8</v>
      </c>
      <c r="H56" s="10"/>
      <c r="I56" s="10"/>
    </row>
    <row r="57" spans="1:9" x14ac:dyDescent="0.2">
      <c r="A57" s="10">
        <v>16582</v>
      </c>
      <c r="B57" s="11">
        <v>42130</v>
      </c>
      <c r="C57" s="12">
        <v>289.75</v>
      </c>
      <c r="D57" s="12">
        <v>22.08</v>
      </c>
      <c r="E57" s="15" t="s">
        <v>350</v>
      </c>
      <c r="H57" s="10"/>
      <c r="I57" s="10"/>
    </row>
    <row r="58" spans="1:9" x14ac:dyDescent="0.2">
      <c r="A58" s="10">
        <v>16583</v>
      </c>
      <c r="B58" s="11">
        <v>42130</v>
      </c>
      <c r="C58" s="12">
        <v>207</v>
      </c>
      <c r="D58" s="12">
        <v>15.78</v>
      </c>
      <c r="E58" s="15" t="s">
        <v>11</v>
      </c>
      <c r="F58" s="21"/>
      <c r="G58" s="22"/>
      <c r="H58" s="10"/>
      <c r="I58" s="10"/>
    </row>
    <row r="59" spans="1:9" x14ac:dyDescent="0.2">
      <c r="A59" s="10">
        <v>16584</v>
      </c>
      <c r="B59" s="11">
        <v>42130</v>
      </c>
      <c r="C59" s="12">
        <v>17.04</v>
      </c>
      <c r="D59" s="12"/>
      <c r="E59" s="13" t="s">
        <v>351</v>
      </c>
      <c r="G59" s="46"/>
      <c r="H59" s="12"/>
      <c r="I59" s="10"/>
    </row>
    <row r="60" spans="1:9" x14ac:dyDescent="0.2">
      <c r="A60" s="10">
        <v>16585</v>
      </c>
      <c r="B60" s="11">
        <v>42130</v>
      </c>
      <c r="C60" s="12">
        <v>105</v>
      </c>
      <c r="D60" s="12">
        <v>8</v>
      </c>
      <c r="E60" s="17"/>
      <c r="G60" s="46"/>
      <c r="H60" s="12"/>
      <c r="I60" s="10"/>
    </row>
    <row r="61" spans="1:9" x14ac:dyDescent="0.2">
      <c r="A61" s="10">
        <v>16586</v>
      </c>
      <c r="B61" s="11">
        <v>42130</v>
      </c>
      <c r="C61" s="12">
        <v>331.79</v>
      </c>
      <c r="D61" s="12">
        <v>25.29</v>
      </c>
      <c r="E61" s="15" t="s">
        <v>11</v>
      </c>
      <c r="H61" s="10"/>
      <c r="I61" s="10"/>
    </row>
    <row r="62" spans="1:9" x14ac:dyDescent="0.2">
      <c r="A62" s="10">
        <v>16587</v>
      </c>
      <c r="B62" s="11">
        <v>42130</v>
      </c>
      <c r="C62" s="12">
        <v>-23.82</v>
      </c>
      <c r="D62" s="12">
        <v>-1.82</v>
      </c>
      <c r="E62" s="15" t="s">
        <v>11</v>
      </c>
      <c r="H62" s="10"/>
      <c r="I62" s="10"/>
    </row>
    <row r="63" spans="1:9" x14ac:dyDescent="0.2">
      <c r="A63" s="10">
        <v>16588</v>
      </c>
      <c r="B63" s="11">
        <v>42130</v>
      </c>
      <c r="C63" s="12">
        <v>16.18</v>
      </c>
      <c r="D63" s="12">
        <v>1.23</v>
      </c>
      <c r="E63" s="15" t="s">
        <v>7</v>
      </c>
      <c r="F63" s="21"/>
      <c r="G63" s="22"/>
      <c r="H63" s="10"/>
      <c r="I63" s="10"/>
    </row>
    <row r="64" spans="1:9" x14ac:dyDescent="0.2">
      <c r="A64" s="10">
        <v>16589</v>
      </c>
      <c r="B64" s="11">
        <v>42130</v>
      </c>
      <c r="C64" s="12">
        <v>56</v>
      </c>
      <c r="D64" s="12">
        <v>4.2699999999999996</v>
      </c>
      <c r="E64" s="17"/>
      <c r="F64" s="18"/>
      <c r="G64" s="19"/>
      <c r="H64" s="12"/>
      <c r="I64" s="10"/>
    </row>
    <row r="65" spans="1:9" x14ac:dyDescent="0.2">
      <c r="A65" s="10">
        <v>16590</v>
      </c>
      <c r="B65" s="11">
        <v>42130</v>
      </c>
      <c r="C65" s="12">
        <v>40</v>
      </c>
      <c r="D65" s="12">
        <v>3.3</v>
      </c>
      <c r="E65" s="15" t="s">
        <v>11</v>
      </c>
      <c r="F65" s="33">
        <f>609.99+C58+C61+C62+C63+C65</f>
        <v>1181.1400000000001</v>
      </c>
      <c r="G65" s="34">
        <v>1159.54</v>
      </c>
      <c r="H65" s="10"/>
      <c r="I65" s="10"/>
    </row>
    <row r="66" spans="1:9" x14ac:dyDescent="0.2">
      <c r="A66" s="10">
        <v>16591</v>
      </c>
      <c r="B66" s="11">
        <v>42131</v>
      </c>
      <c r="C66" s="12">
        <v>187.27</v>
      </c>
      <c r="D66" s="12">
        <v>14.27</v>
      </c>
      <c r="E66" s="15" t="s">
        <v>7</v>
      </c>
      <c r="H66" s="10"/>
      <c r="I66" s="10"/>
    </row>
    <row r="67" spans="1:9" x14ac:dyDescent="0.2">
      <c r="A67" s="10">
        <v>16592</v>
      </c>
      <c r="B67" s="11">
        <v>42131</v>
      </c>
      <c r="C67" s="12">
        <v>56.29</v>
      </c>
      <c r="D67" s="12">
        <v>4.29</v>
      </c>
      <c r="E67" s="15" t="s">
        <v>7</v>
      </c>
      <c r="H67" s="10"/>
      <c r="I67" s="10"/>
    </row>
    <row r="68" spans="1:9" x14ac:dyDescent="0.2">
      <c r="A68" s="10">
        <v>16593</v>
      </c>
      <c r="B68" s="11">
        <v>42131</v>
      </c>
      <c r="C68" s="12">
        <v>9.69</v>
      </c>
      <c r="D68" s="12">
        <v>0.74</v>
      </c>
      <c r="E68" s="17"/>
      <c r="H68" s="12"/>
      <c r="I68" s="10"/>
    </row>
    <row r="69" spans="1:9" x14ac:dyDescent="0.2">
      <c r="A69" s="10">
        <v>16594</v>
      </c>
      <c r="B69" s="11">
        <v>42131</v>
      </c>
      <c r="C69" s="12">
        <v>4.33</v>
      </c>
      <c r="D69" s="12">
        <v>0.33</v>
      </c>
      <c r="E69" s="15" t="s">
        <v>21</v>
      </c>
      <c r="H69" s="10"/>
      <c r="I69" s="10"/>
    </row>
    <row r="70" spans="1:9" x14ac:dyDescent="0.2">
      <c r="A70" s="10">
        <v>16595</v>
      </c>
      <c r="B70" s="11">
        <v>42131</v>
      </c>
      <c r="C70" s="12">
        <v>365.72</v>
      </c>
      <c r="D70" s="12">
        <v>27.87</v>
      </c>
      <c r="E70" s="15" t="s">
        <v>352</v>
      </c>
      <c r="H70" s="10"/>
      <c r="I70" s="10"/>
    </row>
    <row r="71" spans="1:9" x14ac:dyDescent="0.2">
      <c r="A71" s="10">
        <v>16596</v>
      </c>
      <c r="B71" s="11">
        <v>42131</v>
      </c>
      <c r="C71" s="12">
        <v>81.19</v>
      </c>
      <c r="D71" s="12">
        <v>6.19</v>
      </c>
      <c r="E71" s="15"/>
      <c r="H71" s="10"/>
      <c r="I71" s="10"/>
    </row>
    <row r="72" spans="1:9" x14ac:dyDescent="0.2">
      <c r="A72" s="10">
        <v>16597</v>
      </c>
      <c r="B72" s="11">
        <v>42131</v>
      </c>
      <c r="C72" s="12">
        <v>331.25</v>
      </c>
      <c r="D72" s="12">
        <v>25.25</v>
      </c>
      <c r="E72" s="15" t="s">
        <v>11</v>
      </c>
      <c r="H72" s="10"/>
      <c r="I72" s="10"/>
    </row>
    <row r="73" spans="1:9" x14ac:dyDescent="0.2">
      <c r="A73" s="10">
        <v>16598</v>
      </c>
      <c r="B73" s="11">
        <v>42131</v>
      </c>
      <c r="C73" s="12">
        <v>53</v>
      </c>
      <c r="D73" s="12">
        <v>4.04</v>
      </c>
      <c r="E73" s="17"/>
      <c r="H73" s="12"/>
      <c r="I73" s="10"/>
    </row>
    <row r="74" spans="1:9" x14ac:dyDescent="0.2">
      <c r="A74" s="10">
        <v>16599</v>
      </c>
      <c r="B74" s="11">
        <v>42131</v>
      </c>
      <c r="C74" s="12">
        <v>3.5</v>
      </c>
      <c r="D74" s="12"/>
      <c r="E74" s="13" t="s">
        <v>351</v>
      </c>
      <c r="H74" s="12"/>
      <c r="I74" s="10"/>
    </row>
    <row r="75" spans="1:9" x14ac:dyDescent="0.2">
      <c r="A75" s="10">
        <v>16600</v>
      </c>
      <c r="B75" s="11">
        <v>42131</v>
      </c>
      <c r="C75" s="12">
        <v>171</v>
      </c>
      <c r="D75" s="12">
        <v>13.03</v>
      </c>
      <c r="E75" s="15" t="s">
        <v>11</v>
      </c>
      <c r="F75" s="33">
        <f>100+C67+C70+C72</f>
        <v>853.26</v>
      </c>
      <c r="G75" s="34">
        <v>840.59</v>
      </c>
      <c r="H75" s="10"/>
      <c r="I75" s="10"/>
    </row>
    <row r="76" spans="1:9" x14ac:dyDescent="0.2">
      <c r="A76" s="10">
        <v>16601</v>
      </c>
      <c r="B76" s="11">
        <v>42132</v>
      </c>
      <c r="C76" s="12">
        <v>132.61000000000001</v>
      </c>
      <c r="D76" s="12">
        <v>10.11</v>
      </c>
      <c r="E76" s="15" t="s">
        <v>11</v>
      </c>
      <c r="F76" s="21"/>
      <c r="G76" s="22"/>
      <c r="H76" s="10"/>
      <c r="I76" s="10"/>
    </row>
    <row r="77" spans="1:9" x14ac:dyDescent="0.2">
      <c r="A77" s="10">
        <v>16602</v>
      </c>
      <c r="B77" s="11">
        <v>42132</v>
      </c>
      <c r="C77" s="12">
        <v>53.04</v>
      </c>
      <c r="D77" s="12">
        <v>4.04</v>
      </c>
      <c r="E77" s="17"/>
      <c r="H77" s="12"/>
      <c r="I77" s="10"/>
    </row>
    <row r="78" spans="1:9" x14ac:dyDescent="0.2">
      <c r="A78" s="10">
        <v>16603</v>
      </c>
      <c r="B78" s="11">
        <v>42132</v>
      </c>
      <c r="C78" s="12">
        <v>303.64</v>
      </c>
      <c r="D78" s="12">
        <v>23.14</v>
      </c>
      <c r="E78" s="15" t="s">
        <v>11</v>
      </c>
      <c r="H78" s="10"/>
      <c r="I78" s="10"/>
    </row>
    <row r="79" spans="1:9" x14ac:dyDescent="0.2">
      <c r="A79" s="10">
        <v>16604</v>
      </c>
      <c r="B79" s="11">
        <v>42132</v>
      </c>
      <c r="C79" s="12">
        <v>10.5</v>
      </c>
      <c r="D79" s="12">
        <v>0.8</v>
      </c>
      <c r="E79" s="17"/>
      <c r="H79" s="12"/>
      <c r="I79" s="10"/>
    </row>
    <row r="80" spans="1:9" x14ac:dyDescent="0.2">
      <c r="A80" s="10">
        <v>16605</v>
      </c>
      <c r="B80" s="11">
        <v>42132</v>
      </c>
      <c r="C80" s="12">
        <v>140</v>
      </c>
      <c r="D80" s="12"/>
      <c r="E80" s="15" t="s">
        <v>299</v>
      </c>
      <c r="F80" s="21"/>
      <c r="G80" s="22"/>
      <c r="H80" s="10"/>
      <c r="I80" s="10"/>
    </row>
    <row r="81" spans="1:9" x14ac:dyDescent="0.2">
      <c r="A81" s="10">
        <v>16606</v>
      </c>
      <c r="B81" s="11">
        <v>42132</v>
      </c>
      <c r="C81" s="12">
        <v>113.66</v>
      </c>
      <c r="D81" s="12">
        <v>8.66</v>
      </c>
      <c r="E81" s="15" t="s">
        <v>7</v>
      </c>
      <c r="H81" s="10"/>
      <c r="I81" s="10"/>
    </row>
    <row r="82" spans="1:9" x14ac:dyDescent="0.2">
      <c r="A82" s="10">
        <v>16607</v>
      </c>
      <c r="B82" s="11">
        <v>42132</v>
      </c>
      <c r="C82" s="12">
        <v>42.22</v>
      </c>
      <c r="D82" s="12">
        <v>3.22</v>
      </c>
      <c r="E82" s="17"/>
      <c r="F82" s="116"/>
      <c r="G82" s="116"/>
      <c r="H82" s="12"/>
      <c r="I82" s="10"/>
    </row>
    <row r="83" spans="1:9" x14ac:dyDescent="0.2">
      <c r="A83" s="10">
        <v>16608</v>
      </c>
      <c r="B83" s="11">
        <v>42132</v>
      </c>
      <c r="C83" s="12">
        <v>9.69</v>
      </c>
      <c r="D83" s="12">
        <v>0.74</v>
      </c>
      <c r="E83" s="17"/>
      <c r="H83" s="12"/>
      <c r="I83" s="10"/>
    </row>
    <row r="84" spans="1:9" x14ac:dyDescent="0.2">
      <c r="A84" s="10">
        <v>16609</v>
      </c>
      <c r="B84" s="11">
        <v>42132</v>
      </c>
      <c r="C84" s="12">
        <v>22.73</v>
      </c>
      <c r="D84" s="12">
        <v>1.73</v>
      </c>
      <c r="E84" s="15" t="s">
        <v>11</v>
      </c>
      <c r="H84" s="10"/>
      <c r="I84" s="10"/>
    </row>
    <row r="85" spans="1:9" x14ac:dyDescent="0.2">
      <c r="A85" s="10">
        <v>16610</v>
      </c>
      <c r="B85" s="11">
        <v>42132</v>
      </c>
      <c r="C85" s="12">
        <v>181.86</v>
      </c>
      <c r="D85" s="12">
        <v>13.86</v>
      </c>
      <c r="E85" s="15" t="s">
        <v>353</v>
      </c>
      <c r="H85" s="10"/>
      <c r="I85" s="10"/>
    </row>
    <row r="86" spans="1:9" x14ac:dyDescent="0.2">
      <c r="A86" s="10">
        <v>16611</v>
      </c>
      <c r="B86" s="11">
        <v>42132</v>
      </c>
      <c r="C86" s="12">
        <v>21.65</v>
      </c>
      <c r="D86" s="12">
        <v>1.65</v>
      </c>
      <c r="E86" s="15" t="s">
        <v>13</v>
      </c>
      <c r="H86" s="10"/>
      <c r="I86" s="10"/>
    </row>
    <row r="87" spans="1:9" x14ac:dyDescent="0.2">
      <c r="A87" s="10">
        <v>16612</v>
      </c>
      <c r="B87" s="11">
        <v>42132</v>
      </c>
      <c r="C87" s="12">
        <v>15.17</v>
      </c>
      <c r="D87" s="12">
        <v>1.1599999999999999</v>
      </c>
      <c r="E87" s="17"/>
      <c r="H87" s="12"/>
      <c r="I87" s="10"/>
    </row>
    <row r="88" spans="1:9" x14ac:dyDescent="0.2">
      <c r="A88" s="10">
        <v>16613</v>
      </c>
      <c r="B88" s="11">
        <v>42132</v>
      </c>
      <c r="C88" s="12">
        <v>427.59000000000003</v>
      </c>
      <c r="D88" s="12">
        <v>32.590000000000003</v>
      </c>
      <c r="E88" s="15" t="s">
        <v>354</v>
      </c>
      <c r="F88" s="33">
        <f>+C75+C76+C78+C81+C84+C86</f>
        <v>765.29</v>
      </c>
      <c r="G88" s="34">
        <v>759.29</v>
      </c>
      <c r="H88" s="10"/>
      <c r="I88" s="10"/>
    </row>
    <row r="89" spans="1:9" x14ac:dyDescent="0.2">
      <c r="A89" s="10">
        <v>16614</v>
      </c>
      <c r="B89" s="11">
        <v>42133</v>
      </c>
      <c r="C89" s="12">
        <v>37.89</v>
      </c>
      <c r="D89" s="12">
        <v>2.89</v>
      </c>
      <c r="E89" s="17"/>
      <c r="H89" s="12"/>
      <c r="I89" s="10"/>
    </row>
    <row r="90" spans="1:9" x14ac:dyDescent="0.2">
      <c r="A90" s="10">
        <v>16615</v>
      </c>
      <c r="B90" s="11">
        <v>42133</v>
      </c>
      <c r="C90" s="12">
        <v>333.41</v>
      </c>
      <c r="D90" s="12">
        <v>25.41</v>
      </c>
      <c r="E90" s="15" t="s">
        <v>21</v>
      </c>
      <c r="H90" s="10"/>
      <c r="I90" s="10"/>
    </row>
    <row r="91" spans="1:9" x14ac:dyDescent="0.2">
      <c r="A91" s="10">
        <v>16616</v>
      </c>
      <c r="B91" s="11">
        <v>42133</v>
      </c>
      <c r="C91" s="12">
        <v>16.45</v>
      </c>
      <c r="D91" s="12">
        <v>1.25</v>
      </c>
      <c r="E91" s="17"/>
      <c r="H91" s="12"/>
      <c r="I91" s="10"/>
    </row>
    <row r="92" spans="1:9" x14ac:dyDescent="0.2">
      <c r="A92" s="10">
        <v>16617</v>
      </c>
      <c r="B92" s="11">
        <v>42133</v>
      </c>
      <c r="C92" s="12">
        <v>64.900000000000006</v>
      </c>
      <c r="D92" s="12">
        <v>4.95</v>
      </c>
      <c r="E92" s="15" t="s">
        <v>11</v>
      </c>
      <c r="F92" s="21"/>
      <c r="G92" s="22"/>
      <c r="H92" s="10"/>
      <c r="I92" s="10"/>
    </row>
    <row r="93" spans="1:9" x14ac:dyDescent="0.2">
      <c r="A93" s="10">
        <v>16618</v>
      </c>
      <c r="B93" s="11">
        <v>42133</v>
      </c>
      <c r="C93" s="12">
        <v>170</v>
      </c>
      <c r="D93" s="12">
        <v>11.8</v>
      </c>
      <c r="E93" s="17"/>
      <c r="H93" s="12"/>
      <c r="I93" s="10"/>
    </row>
    <row r="94" spans="1:9" x14ac:dyDescent="0.2">
      <c r="A94" s="10">
        <v>16619</v>
      </c>
      <c r="B94" s="11">
        <v>42133</v>
      </c>
      <c r="C94" s="12">
        <v>6.5</v>
      </c>
      <c r="D94" s="12">
        <v>0.5</v>
      </c>
      <c r="E94" s="17"/>
      <c r="H94" s="12"/>
      <c r="I94" s="10"/>
    </row>
    <row r="95" spans="1:9" x14ac:dyDescent="0.2">
      <c r="A95" s="10">
        <v>16620</v>
      </c>
      <c r="B95" s="11">
        <v>42133</v>
      </c>
      <c r="C95" s="12">
        <v>21</v>
      </c>
      <c r="D95" s="12"/>
      <c r="E95" s="13" t="s">
        <v>69</v>
      </c>
      <c r="H95" s="12"/>
      <c r="I95" s="10"/>
    </row>
    <row r="96" spans="1:9" x14ac:dyDescent="0.2">
      <c r="A96" s="10">
        <v>16621</v>
      </c>
      <c r="B96" s="11">
        <v>42133</v>
      </c>
      <c r="C96" s="12">
        <v>10.83</v>
      </c>
      <c r="D96" s="12">
        <v>0.83</v>
      </c>
      <c r="E96" s="15" t="s">
        <v>7</v>
      </c>
      <c r="F96" s="21"/>
      <c r="G96" s="22"/>
      <c r="H96" s="10"/>
      <c r="I96" s="10"/>
    </row>
    <row r="97" spans="1:9" x14ac:dyDescent="0.2">
      <c r="A97" s="10">
        <v>16622</v>
      </c>
      <c r="B97" s="11">
        <v>42133</v>
      </c>
      <c r="C97" s="12">
        <v>16.239999999999998</v>
      </c>
      <c r="D97" s="12">
        <v>1.24</v>
      </c>
      <c r="E97" s="13"/>
      <c r="F97" s="33">
        <f>91.86+127.59+C92+556.32</f>
        <v>840.67000000000007</v>
      </c>
      <c r="G97" s="34">
        <v>833.47</v>
      </c>
      <c r="H97" s="12"/>
      <c r="I97" s="10"/>
    </row>
    <row r="98" spans="1:9" x14ac:dyDescent="0.2">
      <c r="A98" s="10">
        <v>16623</v>
      </c>
      <c r="B98" s="11">
        <v>42135</v>
      </c>
      <c r="C98" s="12">
        <v>12.99</v>
      </c>
      <c r="D98" s="12">
        <v>0.99</v>
      </c>
      <c r="E98" s="13"/>
      <c r="F98" s="18"/>
      <c r="G98" s="19"/>
      <c r="H98" s="12"/>
      <c r="I98" s="10"/>
    </row>
    <row r="99" spans="1:9" x14ac:dyDescent="0.2">
      <c r="A99" s="10">
        <v>16624</v>
      </c>
      <c r="B99" s="11">
        <v>42135</v>
      </c>
      <c r="C99" s="12">
        <v>77.94</v>
      </c>
      <c r="D99" s="12">
        <v>5.94</v>
      </c>
      <c r="E99" s="13"/>
      <c r="F99" s="18"/>
      <c r="G99" s="19"/>
      <c r="H99" s="12"/>
      <c r="I99" s="10"/>
    </row>
    <row r="100" spans="1:9" x14ac:dyDescent="0.2">
      <c r="A100" s="10">
        <v>16625</v>
      </c>
      <c r="B100" s="11">
        <v>42135</v>
      </c>
      <c r="C100" s="12">
        <v>25</v>
      </c>
      <c r="D100" s="12">
        <v>1.91</v>
      </c>
      <c r="E100" s="13"/>
      <c r="F100" s="18"/>
      <c r="G100" s="19"/>
      <c r="H100" s="12"/>
      <c r="I100" s="10"/>
    </row>
    <row r="101" spans="1:9" x14ac:dyDescent="0.2">
      <c r="A101" s="10">
        <v>16626</v>
      </c>
      <c r="B101" s="11">
        <v>42135</v>
      </c>
      <c r="C101" s="12">
        <v>55.21</v>
      </c>
      <c r="D101" s="12">
        <v>4.21</v>
      </c>
      <c r="E101" s="15" t="s">
        <v>7</v>
      </c>
      <c r="F101" s="21"/>
      <c r="G101" s="22"/>
      <c r="H101" s="12"/>
      <c r="I101" s="10"/>
    </row>
    <row r="102" spans="1:9" x14ac:dyDescent="0.2">
      <c r="A102" s="10">
        <v>16627</v>
      </c>
      <c r="B102" s="11">
        <v>42135</v>
      </c>
      <c r="C102" s="12">
        <v>10</v>
      </c>
      <c r="D102" s="12">
        <v>0.76</v>
      </c>
      <c r="E102" s="17"/>
      <c r="H102" s="12"/>
      <c r="I102" s="10"/>
    </row>
    <row r="103" spans="1:9" x14ac:dyDescent="0.2">
      <c r="A103" s="10">
        <v>16628</v>
      </c>
      <c r="B103" s="11">
        <v>42135</v>
      </c>
      <c r="C103" s="12">
        <v>93</v>
      </c>
      <c r="D103" s="12">
        <v>7.09</v>
      </c>
      <c r="E103" s="17"/>
      <c r="H103" s="12"/>
      <c r="I103" s="10"/>
    </row>
    <row r="104" spans="1:9" x14ac:dyDescent="0.2">
      <c r="A104" s="10">
        <v>16629</v>
      </c>
      <c r="B104" s="11">
        <v>42135</v>
      </c>
      <c r="C104" s="12">
        <v>35.450000000000003</v>
      </c>
      <c r="D104" s="12">
        <v>2.7</v>
      </c>
      <c r="E104" s="17"/>
      <c r="H104" s="12"/>
      <c r="I104" s="10"/>
    </row>
    <row r="105" spans="1:9" x14ac:dyDescent="0.2">
      <c r="A105" s="10">
        <v>16630</v>
      </c>
      <c r="B105" s="11">
        <v>42135</v>
      </c>
      <c r="C105" s="12">
        <v>142</v>
      </c>
      <c r="D105" s="12"/>
      <c r="E105" s="13" t="s">
        <v>8</v>
      </c>
      <c r="H105" s="12"/>
      <c r="I105" s="10"/>
    </row>
    <row r="106" spans="1:9" x14ac:dyDescent="0.2">
      <c r="A106" s="10">
        <v>16631</v>
      </c>
      <c r="B106" s="11">
        <v>42135</v>
      </c>
      <c r="C106" s="12">
        <v>15.16</v>
      </c>
      <c r="D106" s="12">
        <v>1.1599999999999999</v>
      </c>
      <c r="E106" s="15" t="s">
        <v>11</v>
      </c>
      <c r="H106" s="10"/>
      <c r="I106" s="10"/>
    </row>
    <row r="107" spans="1:9" x14ac:dyDescent="0.2">
      <c r="A107" s="10">
        <v>16632</v>
      </c>
      <c r="B107" s="11">
        <v>42135</v>
      </c>
      <c r="C107" s="12">
        <v>23.47</v>
      </c>
      <c r="D107" s="12">
        <v>1.79</v>
      </c>
      <c r="E107" s="15" t="s">
        <v>355</v>
      </c>
      <c r="F107" s="21"/>
      <c r="G107" s="22"/>
      <c r="H107" s="10"/>
      <c r="I107" s="10"/>
    </row>
    <row r="108" spans="1:9" x14ac:dyDescent="0.2">
      <c r="A108" s="10">
        <v>16633</v>
      </c>
      <c r="B108" s="11">
        <v>42135</v>
      </c>
      <c r="C108" s="12">
        <v>3.24</v>
      </c>
      <c r="D108" s="12">
        <v>0.25</v>
      </c>
      <c r="E108" s="17"/>
      <c r="H108" s="12"/>
      <c r="I108" s="10"/>
    </row>
    <row r="109" spans="1:9" x14ac:dyDescent="0.2">
      <c r="A109" s="10">
        <v>16634</v>
      </c>
      <c r="B109" s="11">
        <v>42135</v>
      </c>
      <c r="C109" s="12">
        <v>14.29</v>
      </c>
      <c r="D109" s="12">
        <v>1.0900000000000001</v>
      </c>
      <c r="E109" s="17"/>
      <c r="F109" s="18"/>
      <c r="G109" s="19"/>
      <c r="H109" s="12"/>
      <c r="I109" s="10"/>
    </row>
    <row r="110" spans="1:9" x14ac:dyDescent="0.2">
      <c r="A110" s="10">
        <v>16635</v>
      </c>
      <c r="B110" s="11">
        <v>42135</v>
      </c>
      <c r="C110" s="12">
        <v>16.13</v>
      </c>
      <c r="D110" s="12">
        <v>1.23</v>
      </c>
      <c r="E110" s="13" t="s">
        <v>356</v>
      </c>
      <c r="H110" s="12"/>
      <c r="I110" s="10"/>
    </row>
    <row r="111" spans="1:9" x14ac:dyDescent="0.2">
      <c r="A111" s="10">
        <v>16636</v>
      </c>
      <c r="B111" s="11">
        <v>42135</v>
      </c>
      <c r="C111" s="12">
        <v>8</v>
      </c>
      <c r="D111" s="12">
        <v>0.61</v>
      </c>
      <c r="E111" s="15" t="s">
        <v>11</v>
      </c>
      <c r="H111" s="10"/>
      <c r="I111" s="10"/>
    </row>
    <row r="112" spans="1:9" x14ac:dyDescent="0.2">
      <c r="A112" s="10">
        <v>16637</v>
      </c>
      <c r="B112" s="11">
        <v>42135</v>
      </c>
      <c r="C112" s="12">
        <v>140.72999999999999</v>
      </c>
      <c r="D112" s="12">
        <v>10.73</v>
      </c>
      <c r="E112" s="15" t="s">
        <v>11</v>
      </c>
      <c r="H112" s="10"/>
      <c r="I112" s="10"/>
    </row>
    <row r="113" spans="1:9" x14ac:dyDescent="0.2">
      <c r="A113" s="10">
        <v>16638</v>
      </c>
      <c r="B113" s="11">
        <v>42135</v>
      </c>
      <c r="C113" s="12">
        <v>50</v>
      </c>
      <c r="D113" s="12">
        <v>3.81</v>
      </c>
      <c r="E113" s="17"/>
      <c r="F113" s="18"/>
      <c r="G113" s="19"/>
      <c r="H113" s="12"/>
      <c r="I113" s="10"/>
    </row>
    <row r="114" spans="1:9" x14ac:dyDescent="0.2">
      <c r="A114" s="10">
        <v>16639</v>
      </c>
      <c r="B114" s="11">
        <v>42135</v>
      </c>
      <c r="C114" s="12">
        <v>21.599999999999998</v>
      </c>
      <c r="D114" s="12">
        <v>1.65</v>
      </c>
      <c r="E114" s="17"/>
      <c r="F114" s="18"/>
      <c r="G114" s="19"/>
      <c r="H114" s="12"/>
      <c r="I114" s="10"/>
    </row>
    <row r="115" spans="1:9" x14ac:dyDescent="0.2">
      <c r="A115" s="10">
        <v>16640</v>
      </c>
      <c r="B115" s="11">
        <v>42135</v>
      </c>
      <c r="C115" s="12">
        <v>57</v>
      </c>
      <c r="D115" s="12">
        <v>4.34</v>
      </c>
      <c r="E115" s="17"/>
      <c r="F115" s="33">
        <f>+C101+C106+C107+76.53+10.77+8+87.27+0.01</f>
        <v>276.42</v>
      </c>
      <c r="G115" s="34">
        <v>271.10000000000002</v>
      </c>
      <c r="H115" s="12"/>
      <c r="I115" s="10"/>
    </row>
    <row r="116" spans="1:9" x14ac:dyDescent="0.2">
      <c r="A116" s="10">
        <v>16641</v>
      </c>
      <c r="B116" s="11">
        <v>42136</v>
      </c>
      <c r="C116" s="12">
        <v>129.85</v>
      </c>
      <c r="D116" s="12">
        <v>9.9</v>
      </c>
      <c r="E116" s="15" t="s">
        <v>357</v>
      </c>
      <c r="F116" s="21"/>
      <c r="G116" s="22"/>
      <c r="H116" s="10"/>
      <c r="I116" s="10"/>
    </row>
    <row r="117" spans="1:9" x14ac:dyDescent="0.2">
      <c r="A117" s="10">
        <v>16642</v>
      </c>
      <c r="B117" s="11">
        <v>42136</v>
      </c>
      <c r="C117" s="12">
        <v>168.33</v>
      </c>
      <c r="D117" s="12">
        <v>12.83</v>
      </c>
      <c r="E117" s="15" t="s">
        <v>11</v>
      </c>
      <c r="H117" s="10"/>
      <c r="I117" s="10"/>
    </row>
    <row r="118" spans="1:9" x14ac:dyDescent="0.2">
      <c r="A118" s="10">
        <v>16643</v>
      </c>
      <c r="B118" s="11">
        <v>42136</v>
      </c>
      <c r="C118" s="12">
        <v>283.62</v>
      </c>
      <c r="D118" s="12">
        <v>21.62</v>
      </c>
      <c r="E118" s="15" t="s">
        <v>13</v>
      </c>
      <c r="H118" s="10"/>
      <c r="I118" s="10"/>
    </row>
    <row r="119" spans="1:9" x14ac:dyDescent="0.2">
      <c r="A119" s="10">
        <v>16644</v>
      </c>
      <c r="B119" s="11">
        <v>42136</v>
      </c>
      <c r="C119" s="12">
        <v>371.3</v>
      </c>
      <c r="D119" s="12">
        <v>28.3</v>
      </c>
      <c r="E119" s="15" t="s">
        <v>358</v>
      </c>
      <c r="H119" s="10"/>
      <c r="I119" s="10"/>
    </row>
    <row r="120" spans="1:9" x14ac:dyDescent="0.2">
      <c r="A120" s="10">
        <v>16645</v>
      </c>
      <c r="B120" s="11">
        <v>42136</v>
      </c>
      <c r="C120" s="12">
        <v>20.57</v>
      </c>
      <c r="D120" s="12">
        <v>1.57</v>
      </c>
      <c r="E120" s="17"/>
      <c r="F120" s="33">
        <f>+C117+C118+C119</f>
        <v>823.25</v>
      </c>
      <c r="G120" s="34">
        <v>811.26</v>
      </c>
      <c r="H120" s="12"/>
      <c r="I120" s="10"/>
    </row>
    <row r="121" spans="1:9" x14ac:dyDescent="0.2">
      <c r="A121" s="10">
        <v>16646</v>
      </c>
      <c r="B121" s="11">
        <v>42137</v>
      </c>
      <c r="C121" s="12">
        <v>86.6</v>
      </c>
      <c r="D121" s="12">
        <v>6.6</v>
      </c>
      <c r="E121" s="15" t="s">
        <v>21</v>
      </c>
      <c r="H121" s="10"/>
      <c r="I121" s="10"/>
    </row>
    <row r="122" spans="1:9" x14ac:dyDescent="0.2">
      <c r="A122" s="10">
        <v>16647</v>
      </c>
      <c r="B122" s="11">
        <v>42137</v>
      </c>
      <c r="C122" s="12">
        <v>49.78</v>
      </c>
      <c r="D122" s="12"/>
      <c r="E122" s="15" t="s">
        <v>359</v>
      </c>
      <c r="H122" s="10"/>
      <c r="I122" s="10"/>
    </row>
    <row r="123" spans="1:9" x14ac:dyDescent="0.2">
      <c r="A123" s="10">
        <v>16648</v>
      </c>
      <c r="B123" s="11">
        <v>42137</v>
      </c>
      <c r="C123" s="12">
        <v>242</v>
      </c>
      <c r="D123" s="12">
        <v>18.440000000000001</v>
      </c>
      <c r="E123" s="13" t="s">
        <v>360</v>
      </c>
      <c r="H123" s="12"/>
      <c r="I123" s="10"/>
    </row>
    <row r="124" spans="1:9" x14ac:dyDescent="0.2">
      <c r="A124" s="10">
        <v>16649</v>
      </c>
      <c r="B124" s="11">
        <v>42137</v>
      </c>
      <c r="C124" s="12">
        <v>6.63</v>
      </c>
      <c r="D124" s="12"/>
      <c r="E124" s="15" t="s">
        <v>361</v>
      </c>
      <c r="H124" s="10"/>
      <c r="I124" s="10"/>
    </row>
    <row r="125" spans="1:9" x14ac:dyDescent="0.2">
      <c r="A125" s="10">
        <v>16650</v>
      </c>
      <c r="B125" s="11">
        <v>42137</v>
      </c>
      <c r="C125" s="12">
        <v>10.5</v>
      </c>
      <c r="D125" s="12">
        <v>0.8</v>
      </c>
      <c r="E125" s="17"/>
      <c r="H125" s="12"/>
      <c r="I125" s="10"/>
    </row>
    <row r="126" spans="1:9" x14ac:dyDescent="0.2">
      <c r="A126" s="10">
        <v>16651</v>
      </c>
      <c r="B126" s="11">
        <v>42137</v>
      </c>
      <c r="C126" s="12">
        <v>64.95</v>
      </c>
      <c r="D126" s="12">
        <v>4.95</v>
      </c>
      <c r="E126" s="15" t="s">
        <v>362</v>
      </c>
      <c r="H126" s="10"/>
      <c r="I126" s="10"/>
    </row>
    <row r="127" spans="1:9" x14ac:dyDescent="0.2">
      <c r="A127" s="10">
        <v>16652</v>
      </c>
      <c r="B127" s="11">
        <v>42137</v>
      </c>
      <c r="C127" s="12">
        <v>158.4</v>
      </c>
      <c r="D127" s="12"/>
      <c r="E127" s="15" t="s">
        <v>363</v>
      </c>
      <c r="H127" s="10"/>
      <c r="I127" s="10"/>
    </row>
    <row r="128" spans="1:9" x14ac:dyDescent="0.2">
      <c r="A128" s="10">
        <v>16653</v>
      </c>
      <c r="B128" s="11">
        <v>42137</v>
      </c>
      <c r="C128" s="12">
        <v>10.83</v>
      </c>
      <c r="D128" s="12">
        <v>0.83</v>
      </c>
      <c r="E128" s="15" t="s">
        <v>11</v>
      </c>
      <c r="F128" s="33">
        <f>89.98+C124+C128</f>
        <v>107.44</v>
      </c>
      <c r="G128" s="19">
        <f>+F128*0.97831</f>
        <v>105.1096264</v>
      </c>
      <c r="H128" s="131" t="s">
        <v>364</v>
      </c>
      <c r="I128" s="10"/>
    </row>
    <row r="129" spans="1:9" x14ac:dyDescent="0.2">
      <c r="A129" s="10">
        <v>16654</v>
      </c>
      <c r="B129" s="11">
        <v>42138</v>
      </c>
      <c r="C129" s="12">
        <v>49</v>
      </c>
      <c r="D129" s="12"/>
      <c r="E129" s="13" t="s">
        <v>365</v>
      </c>
      <c r="H129" s="12"/>
      <c r="I129" s="10"/>
    </row>
    <row r="130" spans="1:9" x14ac:dyDescent="0.2">
      <c r="A130" s="10">
        <v>16655</v>
      </c>
      <c r="B130" s="11">
        <v>42138</v>
      </c>
      <c r="C130" s="12">
        <v>70</v>
      </c>
      <c r="D130" s="12"/>
      <c r="E130" s="15" t="s">
        <v>366</v>
      </c>
      <c r="F130" s="21"/>
      <c r="G130" s="22"/>
      <c r="H130" s="10"/>
      <c r="I130" s="10"/>
    </row>
    <row r="131" spans="1:9" x14ac:dyDescent="0.2">
      <c r="A131" s="10">
        <v>16656</v>
      </c>
      <c r="B131" s="11">
        <v>42138</v>
      </c>
      <c r="C131" s="12">
        <v>16.080000000000002</v>
      </c>
      <c r="D131" s="12">
        <v>1.23</v>
      </c>
      <c r="E131" s="17"/>
      <c r="F131" s="18"/>
      <c r="G131" s="19"/>
      <c r="H131" s="12"/>
      <c r="I131" s="10"/>
    </row>
    <row r="132" spans="1:9" x14ac:dyDescent="0.2">
      <c r="A132" s="10">
        <v>16657</v>
      </c>
      <c r="B132" s="11">
        <v>42138</v>
      </c>
      <c r="C132" s="12">
        <v>269.54000000000002</v>
      </c>
      <c r="D132" s="12">
        <v>20.54</v>
      </c>
      <c r="E132" s="17"/>
      <c r="H132" s="12"/>
      <c r="I132" s="10"/>
    </row>
    <row r="133" spans="1:9" x14ac:dyDescent="0.2">
      <c r="A133" s="10">
        <v>16658</v>
      </c>
      <c r="B133" s="11">
        <v>42138</v>
      </c>
      <c r="C133" s="12">
        <v>17.209999999999997</v>
      </c>
      <c r="D133" s="12">
        <v>1.31</v>
      </c>
      <c r="E133" s="17"/>
      <c r="F133" s="18"/>
      <c r="G133" s="19"/>
      <c r="H133" s="12"/>
      <c r="I133" s="10"/>
    </row>
    <row r="134" spans="1:9" x14ac:dyDescent="0.2">
      <c r="A134" s="10">
        <v>16659</v>
      </c>
      <c r="B134" s="11">
        <v>42138</v>
      </c>
      <c r="C134" s="12">
        <v>21.996400000000001</v>
      </c>
      <c r="D134" s="12">
        <v>1.6764000000000001</v>
      </c>
      <c r="E134" s="17"/>
      <c r="F134" s="18"/>
      <c r="G134" s="19"/>
      <c r="H134" s="12"/>
      <c r="I134" s="10"/>
    </row>
    <row r="135" spans="1:9" x14ac:dyDescent="0.2">
      <c r="A135" s="10">
        <v>16660</v>
      </c>
      <c r="B135" s="11">
        <v>42138</v>
      </c>
      <c r="C135" s="12">
        <v>21.599999999999998</v>
      </c>
      <c r="D135" s="12">
        <v>1.65</v>
      </c>
      <c r="E135" s="15" t="s">
        <v>7</v>
      </c>
      <c r="F135" s="21"/>
      <c r="G135" s="22"/>
      <c r="H135" s="10"/>
      <c r="I135" s="10"/>
    </row>
    <row r="136" spans="1:9" x14ac:dyDescent="0.2">
      <c r="A136" s="10">
        <v>16661</v>
      </c>
      <c r="B136" s="11">
        <v>42138</v>
      </c>
      <c r="C136" s="12">
        <v>3</v>
      </c>
      <c r="D136" s="12">
        <v>0.23</v>
      </c>
      <c r="E136" s="17"/>
      <c r="H136" s="12"/>
      <c r="I136" s="10"/>
    </row>
    <row r="137" spans="1:9" x14ac:dyDescent="0.2">
      <c r="A137" s="10">
        <v>16662</v>
      </c>
      <c r="B137" s="11">
        <v>42138</v>
      </c>
      <c r="C137" s="12">
        <v>42.22</v>
      </c>
      <c r="D137" s="12">
        <v>3.22</v>
      </c>
      <c r="E137" s="15" t="s">
        <v>11</v>
      </c>
      <c r="F137" s="33">
        <f>+C116+C112+C135+C137</f>
        <v>334.4</v>
      </c>
      <c r="G137" s="34">
        <v>331.84</v>
      </c>
      <c r="H137" s="10"/>
      <c r="I137" s="10"/>
    </row>
    <row r="138" spans="1:9" x14ac:dyDescent="0.2">
      <c r="A138" s="10">
        <v>16663</v>
      </c>
      <c r="B138" s="11">
        <v>42139</v>
      </c>
      <c r="C138" s="12">
        <v>140.72999999999999</v>
      </c>
      <c r="D138" s="12">
        <v>10.73</v>
      </c>
      <c r="E138" s="15" t="s">
        <v>11</v>
      </c>
      <c r="H138" s="10"/>
      <c r="I138" s="10"/>
    </row>
    <row r="139" spans="1:9" x14ac:dyDescent="0.2">
      <c r="A139" s="10">
        <v>16664</v>
      </c>
      <c r="B139" s="11">
        <v>42139</v>
      </c>
      <c r="C139" s="12">
        <v>216.5</v>
      </c>
      <c r="D139" s="12">
        <v>16.5</v>
      </c>
      <c r="E139" s="15" t="s">
        <v>367</v>
      </c>
      <c r="H139" s="10"/>
      <c r="I139" s="10"/>
    </row>
    <row r="140" spans="1:9" x14ac:dyDescent="0.2">
      <c r="A140" s="10">
        <v>16665</v>
      </c>
      <c r="B140" s="11">
        <v>42139</v>
      </c>
      <c r="C140" s="12">
        <v>60.54</v>
      </c>
      <c r="D140" s="12">
        <v>4.6100000000000003</v>
      </c>
      <c r="E140" s="15" t="s">
        <v>268</v>
      </c>
      <c r="H140" s="10"/>
      <c r="I140" s="10"/>
    </row>
    <row r="141" spans="1:9" x14ac:dyDescent="0.2">
      <c r="A141" s="10">
        <v>16666</v>
      </c>
      <c r="B141" s="11">
        <v>42139</v>
      </c>
      <c r="C141" s="12">
        <v>16.239999999999998</v>
      </c>
      <c r="D141" s="12">
        <v>1.24</v>
      </c>
      <c r="E141" s="17"/>
      <c r="H141" s="12"/>
      <c r="I141" s="10"/>
    </row>
    <row r="142" spans="1:9" x14ac:dyDescent="0.2">
      <c r="A142" s="10">
        <v>16667</v>
      </c>
      <c r="B142" s="11">
        <v>42139</v>
      </c>
      <c r="C142" s="12">
        <v>103</v>
      </c>
      <c r="D142" s="12"/>
      <c r="E142" s="15" t="s">
        <v>77</v>
      </c>
      <c r="F142" s="21"/>
      <c r="G142" s="22"/>
      <c r="H142" s="10"/>
      <c r="I142" s="10"/>
    </row>
    <row r="143" spans="1:9" x14ac:dyDescent="0.2">
      <c r="A143" s="10">
        <v>16668</v>
      </c>
      <c r="B143" s="11">
        <v>42139</v>
      </c>
      <c r="C143" s="12">
        <v>98.990000000000009</v>
      </c>
      <c r="D143" s="12">
        <v>7.54</v>
      </c>
      <c r="E143" s="15" t="s">
        <v>7</v>
      </c>
      <c r="H143" s="10"/>
      <c r="I143" s="10"/>
    </row>
    <row r="144" spans="1:9" x14ac:dyDescent="0.2">
      <c r="A144" s="10">
        <v>16669</v>
      </c>
      <c r="B144" s="11">
        <v>42139</v>
      </c>
      <c r="C144" s="12">
        <v>24.9</v>
      </c>
      <c r="D144" s="12">
        <v>1.9</v>
      </c>
      <c r="E144" s="15" t="s">
        <v>7</v>
      </c>
      <c r="H144" s="10"/>
      <c r="I144" s="10"/>
    </row>
    <row r="145" spans="1:9" x14ac:dyDescent="0.2">
      <c r="A145" s="10">
        <v>16670</v>
      </c>
      <c r="B145" s="11">
        <v>42139</v>
      </c>
      <c r="C145" s="12">
        <v>460</v>
      </c>
      <c r="D145" s="12">
        <v>35.06</v>
      </c>
      <c r="E145" s="17"/>
      <c r="F145" s="18"/>
      <c r="G145" s="19"/>
      <c r="H145" s="12"/>
      <c r="I145" s="10"/>
    </row>
    <row r="146" spans="1:9" x14ac:dyDescent="0.2">
      <c r="A146" s="10">
        <v>16671</v>
      </c>
      <c r="B146" s="11">
        <v>42139</v>
      </c>
      <c r="C146" s="12">
        <v>107.00000000000001</v>
      </c>
      <c r="D146" s="12">
        <v>8.15</v>
      </c>
      <c r="E146" s="17"/>
      <c r="H146" s="12"/>
      <c r="I146" s="10"/>
    </row>
    <row r="147" spans="1:9" x14ac:dyDescent="0.2">
      <c r="A147" s="10">
        <v>16672</v>
      </c>
      <c r="B147" s="11">
        <v>42139</v>
      </c>
      <c r="C147" s="12">
        <v>22.73</v>
      </c>
      <c r="D147" s="12">
        <v>1.73</v>
      </c>
      <c r="E147" s="15" t="s">
        <v>11</v>
      </c>
      <c r="H147" s="10"/>
      <c r="I147" s="10"/>
    </row>
    <row r="148" spans="1:9" x14ac:dyDescent="0.2">
      <c r="A148" s="10">
        <v>16673</v>
      </c>
      <c r="B148" s="11">
        <v>42139</v>
      </c>
      <c r="C148" s="12">
        <v>148.69</v>
      </c>
      <c r="D148" s="12"/>
      <c r="E148" s="15" t="s">
        <v>368</v>
      </c>
      <c r="F148" s="21"/>
      <c r="G148" s="22"/>
      <c r="H148" s="10"/>
      <c r="I148" s="10"/>
    </row>
    <row r="149" spans="1:9" x14ac:dyDescent="0.2">
      <c r="A149" s="10">
        <v>16674</v>
      </c>
      <c r="B149" s="11">
        <v>42139</v>
      </c>
      <c r="C149" s="12">
        <v>202.43</v>
      </c>
      <c r="D149" s="12">
        <v>15.43</v>
      </c>
      <c r="E149" s="15" t="s">
        <v>11</v>
      </c>
      <c r="H149" s="10"/>
      <c r="I149" s="10"/>
    </row>
    <row r="150" spans="1:9" x14ac:dyDescent="0.2">
      <c r="A150" s="10">
        <v>16675</v>
      </c>
      <c r="B150" s="11">
        <v>42139</v>
      </c>
      <c r="C150" s="12">
        <v>38.1</v>
      </c>
      <c r="D150" s="12">
        <v>2.9</v>
      </c>
      <c r="E150" s="17"/>
      <c r="H150" s="12"/>
      <c r="I150" s="10"/>
    </row>
    <row r="151" spans="1:9" x14ac:dyDescent="0.2">
      <c r="A151" s="10">
        <v>16676</v>
      </c>
      <c r="B151" s="11">
        <v>42139</v>
      </c>
      <c r="C151" s="12">
        <v>29.23</v>
      </c>
      <c r="D151" s="12">
        <v>2.23</v>
      </c>
      <c r="E151" s="17"/>
      <c r="H151" s="12"/>
      <c r="I151" s="10"/>
    </row>
    <row r="152" spans="1:9" x14ac:dyDescent="0.2">
      <c r="A152" s="10">
        <v>16677</v>
      </c>
      <c r="B152" s="11">
        <v>42139</v>
      </c>
      <c r="C152" s="12">
        <v>250</v>
      </c>
      <c r="D152" s="12">
        <v>19.05</v>
      </c>
      <c r="E152" s="17"/>
      <c r="F152" s="33">
        <f>+C138+C143+36.5+C144+C147+C148+C149</f>
        <v>674.97</v>
      </c>
      <c r="G152" s="34">
        <v>666.48</v>
      </c>
      <c r="H152" s="12"/>
      <c r="I152" s="10"/>
    </row>
    <row r="153" spans="1:9" x14ac:dyDescent="0.2">
      <c r="A153" s="10">
        <v>16678</v>
      </c>
      <c r="B153" s="11">
        <v>42140</v>
      </c>
      <c r="C153" s="12">
        <v>166.71</v>
      </c>
      <c r="D153" s="12">
        <v>12.71</v>
      </c>
      <c r="E153" s="17"/>
      <c r="H153" s="12"/>
      <c r="I153" s="10"/>
    </row>
    <row r="154" spans="1:9" x14ac:dyDescent="0.2">
      <c r="A154" s="10">
        <v>16679</v>
      </c>
      <c r="B154" s="11">
        <v>42140</v>
      </c>
      <c r="C154" s="12">
        <v>8</v>
      </c>
      <c r="D154" s="12">
        <v>0.61</v>
      </c>
      <c r="E154" s="17"/>
      <c r="H154" s="12"/>
      <c r="I154" s="10"/>
    </row>
    <row r="155" spans="1:9" x14ac:dyDescent="0.2">
      <c r="A155" s="10">
        <v>16680</v>
      </c>
      <c r="B155" s="11">
        <v>42140</v>
      </c>
      <c r="C155" s="12">
        <v>161.29</v>
      </c>
      <c r="D155" s="12">
        <v>12.29</v>
      </c>
      <c r="E155" s="17"/>
      <c r="H155" s="12"/>
      <c r="I155" s="10"/>
    </row>
    <row r="156" spans="1:9" x14ac:dyDescent="0.2">
      <c r="A156" s="10">
        <v>16681</v>
      </c>
      <c r="B156" s="11">
        <v>42140</v>
      </c>
      <c r="C156" s="12">
        <v>41.5</v>
      </c>
      <c r="D156" s="12">
        <v>3.16</v>
      </c>
      <c r="E156" s="17"/>
      <c r="H156" s="12"/>
      <c r="I156" s="10"/>
    </row>
    <row r="157" spans="1:9" x14ac:dyDescent="0.2">
      <c r="A157" s="10">
        <v>16682</v>
      </c>
      <c r="B157" s="11">
        <v>42140</v>
      </c>
      <c r="C157" s="12">
        <v>206.76</v>
      </c>
      <c r="D157" s="12">
        <v>15.76</v>
      </c>
      <c r="E157" s="15" t="s">
        <v>21</v>
      </c>
      <c r="H157" s="10"/>
      <c r="I157" s="10"/>
    </row>
    <row r="158" spans="1:9" x14ac:dyDescent="0.2">
      <c r="A158" s="10">
        <v>16683</v>
      </c>
      <c r="B158" s="11">
        <v>42140</v>
      </c>
      <c r="C158" s="12">
        <v>261.97000000000003</v>
      </c>
      <c r="D158" s="12">
        <v>19.97</v>
      </c>
      <c r="E158" s="13" t="s">
        <v>369</v>
      </c>
      <c r="H158" s="12"/>
      <c r="I158" s="10"/>
    </row>
    <row r="159" spans="1:9" x14ac:dyDescent="0.2">
      <c r="A159" s="10">
        <v>16684</v>
      </c>
      <c r="B159" s="11">
        <v>42140</v>
      </c>
      <c r="C159" s="12">
        <v>173.14999999999998</v>
      </c>
      <c r="D159" s="12">
        <v>13.2</v>
      </c>
      <c r="E159" s="15" t="s">
        <v>11</v>
      </c>
      <c r="H159" s="10"/>
      <c r="I159" s="10"/>
    </row>
    <row r="160" spans="1:9" x14ac:dyDescent="0.2">
      <c r="A160" s="10">
        <v>16685</v>
      </c>
      <c r="B160" s="11">
        <v>42140</v>
      </c>
      <c r="C160" s="12">
        <v>215.20000000000002</v>
      </c>
      <c r="D160" s="12">
        <v>16.399999999999999</v>
      </c>
      <c r="E160" s="15" t="s">
        <v>7</v>
      </c>
      <c r="F160" s="21"/>
      <c r="G160" s="22"/>
      <c r="H160" s="10"/>
      <c r="I160" s="10"/>
    </row>
    <row r="161" spans="1:9" x14ac:dyDescent="0.2">
      <c r="A161" s="10">
        <v>16686</v>
      </c>
      <c r="B161" s="11">
        <v>42140</v>
      </c>
      <c r="C161" s="12">
        <v>194.85</v>
      </c>
      <c r="D161" s="12">
        <v>14.85</v>
      </c>
      <c r="E161" s="13" t="s">
        <v>370</v>
      </c>
      <c r="F161" s="33">
        <f>+C159+C160+94.85</f>
        <v>483.20000000000005</v>
      </c>
      <c r="G161" s="34">
        <v>477.64</v>
      </c>
      <c r="H161" s="12"/>
      <c r="I161" s="10"/>
    </row>
    <row r="162" spans="1:9" x14ac:dyDescent="0.2">
      <c r="A162" s="10">
        <v>16687</v>
      </c>
      <c r="B162" s="11">
        <v>42142</v>
      </c>
      <c r="C162" s="12">
        <v>45</v>
      </c>
      <c r="D162" s="12">
        <v>3.43</v>
      </c>
      <c r="E162" s="17"/>
      <c r="H162" s="12"/>
      <c r="I162" s="10"/>
    </row>
    <row r="163" spans="1:9" x14ac:dyDescent="0.2">
      <c r="A163" s="10">
        <v>16688</v>
      </c>
      <c r="B163" s="11">
        <v>42142</v>
      </c>
      <c r="C163" s="12">
        <v>272.25</v>
      </c>
      <c r="D163" s="12">
        <v>20.75</v>
      </c>
      <c r="E163" s="17"/>
      <c r="F163" s="18"/>
      <c r="G163" s="19"/>
      <c r="H163" s="12"/>
      <c r="I163" s="10"/>
    </row>
    <row r="164" spans="1:9" x14ac:dyDescent="0.2">
      <c r="A164" s="10">
        <v>16689</v>
      </c>
      <c r="B164" s="11">
        <v>42142</v>
      </c>
      <c r="C164" s="12">
        <v>11.91</v>
      </c>
      <c r="D164" s="12">
        <v>0.91</v>
      </c>
      <c r="E164" s="17"/>
      <c r="H164" s="12"/>
      <c r="I164" s="10"/>
    </row>
    <row r="165" spans="1:9" x14ac:dyDescent="0.2">
      <c r="A165" s="10">
        <v>16690</v>
      </c>
      <c r="B165" s="11">
        <v>42142</v>
      </c>
      <c r="C165" s="12">
        <v>36.81</v>
      </c>
      <c r="D165" s="12">
        <v>2.81</v>
      </c>
      <c r="E165" s="17"/>
      <c r="H165" s="12"/>
      <c r="I165" s="10"/>
    </row>
    <row r="166" spans="1:9" x14ac:dyDescent="0.2">
      <c r="A166" s="10">
        <v>16691</v>
      </c>
      <c r="B166" s="11">
        <v>42142</v>
      </c>
      <c r="C166" s="12">
        <v>12</v>
      </c>
      <c r="D166" s="12">
        <v>0.91</v>
      </c>
      <c r="E166" s="17"/>
      <c r="H166" s="12"/>
      <c r="I166" s="10"/>
    </row>
    <row r="167" spans="1:9" x14ac:dyDescent="0.2">
      <c r="A167" s="10">
        <v>16692</v>
      </c>
      <c r="B167" s="11">
        <v>42142</v>
      </c>
      <c r="C167" s="12">
        <v>11.91</v>
      </c>
      <c r="D167" s="12">
        <v>0.91</v>
      </c>
      <c r="E167" s="15" t="s">
        <v>11</v>
      </c>
      <c r="F167" s="21"/>
      <c r="G167" s="22"/>
      <c r="H167" s="10"/>
      <c r="I167" s="10"/>
    </row>
    <row r="168" spans="1:9" x14ac:dyDescent="0.2">
      <c r="A168" s="10">
        <v>16693</v>
      </c>
      <c r="B168" s="11">
        <v>42142</v>
      </c>
      <c r="C168" s="12">
        <v>20</v>
      </c>
      <c r="D168" s="12">
        <v>1.52</v>
      </c>
      <c r="E168" s="13"/>
      <c r="F168" s="18"/>
      <c r="G168" s="19"/>
      <c r="H168" s="12"/>
      <c r="I168" s="10"/>
    </row>
    <row r="169" spans="1:9" x14ac:dyDescent="0.2">
      <c r="A169" s="10">
        <v>16694</v>
      </c>
      <c r="B169" s="11">
        <v>42142</v>
      </c>
      <c r="C169" s="12">
        <v>8</v>
      </c>
      <c r="D169" s="12">
        <v>0.61</v>
      </c>
      <c r="E169" s="13"/>
      <c r="F169" s="18"/>
      <c r="G169" s="19"/>
      <c r="H169" s="12"/>
      <c r="I169" s="10"/>
    </row>
    <row r="170" spans="1:9" x14ac:dyDescent="0.2">
      <c r="A170" s="10">
        <v>16695</v>
      </c>
      <c r="B170" s="11">
        <v>42142</v>
      </c>
      <c r="C170" s="12">
        <v>258.72000000000003</v>
      </c>
      <c r="D170" s="12">
        <v>19.72</v>
      </c>
      <c r="E170" s="15" t="s">
        <v>11</v>
      </c>
      <c r="F170" s="33">
        <f>+C167+C170</f>
        <v>270.63000000000005</v>
      </c>
      <c r="G170" s="34">
        <v>265.04000000000002</v>
      </c>
      <c r="H170" s="10"/>
      <c r="I170" s="10"/>
    </row>
    <row r="171" spans="1:9" x14ac:dyDescent="0.2">
      <c r="A171" s="10">
        <v>16696</v>
      </c>
      <c r="B171" s="11">
        <v>42143</v>
      </c>
      <c r="C171" s="12">
        <v>51.36</v>
      </c>
      <c r="D171" s="12">
        <v>3.91</v>
      </c>
      <c r="E171" s="17"/>
      <c r="F171" s="18"/>
      <c r="G171" s="19"/>
      <c r="H171" s="12"/>
      <c r="I171" s="10"/>
    </row>
    <row r="172" spans="1:9" x14ac:dyDescent="0.2">
      <c r="A172" s="10">
        <v>16697</v>
      </c>
      <c r="B172" s="11">
        <v>42143</v>
      </c>
      <c r="C172" s="12">
        <v>68.2</v>
      </c>
      <c r="D172" s="12">
        <v>5.2</v>
      </c>
      <c r="E172" s="17"/>
      <c r="F172" s="18"/>
      <c r="G172" s="19"/>
      <c r="H172" s="12"/>
      <c r="I172" s="10"/>
    </row>
    <row r="173" spans="1:9" x14ac:dyDescent="0.2">
      <c r="A173" s="10">
        <v>16698</v>
      </c>
      <c r="B173" s="11">
        <v>42143</v>
      </c>
      <c r="C173" s="12">
        <v>21</v>
      </c>
      <c r="D173" s="12"/>
      <c r="E173" s="13" t="s">
        <v>371</v>
      </c>
      <c r="F173" s="18"/>
      <c r="G173" s="19"/>
      <c r="H173" s="12"/>
      <c r="I173" s="10"/>
    </row>
    <row r="174" spans="1:9" x14ac:dyDescent="0.2">
      <c r="A174" s="10">
        <v>16699</v>
      </c>
      <c r="B174" s="11">
        <v>42143</v>
      </c>
      <c r="C174" s="12">
        <v>43.25</v>
      </c>
      <c r="D174" s="12">
        <v>3.3</v>
      </c>
      <c r="E174" s="15" t="s">
        <v>11</v>
      </c>
      <c r="H174" s="10"/>
      <c r="I174" s="10"/>
    </row>
    <row r="175" spans="1:9" x14ac:dyDescent="0.2">
      <c r="A175" s="10">
        <v>16700</v>
      </c>
      <c r="B175" s="11">
        <v>42143</v>
      </c>
      <c r="C175" s="12">
        <v>167.79</v>
      </c>
      <c r="D175" s="12">
        <v>12.79</v>
      </c>
      <c r="E175" s="15" t="s">
        <v>11</v>
      </c>
      <c r="F175" s="21"/>
      <c r="G175" s="22"/>
      <c r="H175" s="10"/>
      <c r="I175" s="10"/>
    </row>
    <row r="176" spans="1:9" x14ac:dyDescent="0.2">
      <c r="A176" s="10">
        <v>16701</v>
      </c>
      <c r="B176" s="11">
        <v>42143</v>
      </c>
      <c r="C176" s="12">
        <v>90.820000000000007</v>
      </c>
      <c r="D176" s="12">
        <v>6.92</v>
      </c>
      <c r="E176" s="15" t="s">
        <v>11</v>
      </c>
      <c r="H176" s="10"/>
      <c r="I176" s="10"/>
    </row>
    <row r="177" spans="1:9" x14ac:dyDescent="0.2">
      <c r="A177" s="10">
        <v>16702</v>
      </c>
      <c r="B177" s="11">
        <v>42143</v>
      </c>
      <c r="C177" s="12">
        <v>31.39</v>
      </c>
      <c r="D177" s="12">
        <v>2.39</v>
      </c>
      <c r="E177" s="15" t="s">
        <v>21</v>
      </c>
      <c r="H177" s="10"/>
      <c r="I177" s="10"/>
    </row>
    <row r="178" spans="1:9" x14ac:dyDescent="0.2">
      <c r="A178" s="10">
        <v>16703</v>
      </c>
      <c r="B178" s="11">
        <v>42143</v>
      </c>
      <c r="C178" s="12">
        <v>62.79</v>
      </c>
      <c r="D178" s="12">
        <v>4.79</v>
      </c>
      <c r="E178" s="17"/>
      <c r="F178" s="18"/>
      <c r="G178" s="19"/>
      <c r="H178" s="12"/>
      <c r="I178" s="10"/>
    </row>
    <row r="179" spans="1:9" x14ac:dyDescent="0.2">
      <c r="A179" s="10">
        <v>16704</v>
      </c>
      <c r="B179" s="11">
        <v>42143</v>
      </c>
      <c r="C179" s="12">
        <v>14.07</v>
      </c>
      <c r="D179" s="12">
        <v>1.07</v>
      </c>
      <c r="E179" s="17"/>
      <c r="H179" s="12"/>
      <c r="I179" s="10"/>
    </row>
    <row r="180" spans="1:9" x14ac:dyDescent="0.2">
      <c r="A180" s="10">
        <v>16705</v>
      </c>
      <c r="B180" s="11">
        <v>42143</v>
      </c>
      <c r="C180" s="12">
        <v>221.37</v>
      </c>
      <c r="D180" s="12">
        <v>16.87</v>
      </c>
      <c r="E180" s="17"/>
      <c r="F180" s="18"/>
      <c r="G180" s="19"/>
      <c r="H180" s="12"/>
      <c r="I180" s="10"/>
    </row>
    <row r="181" spans="1:9" x14ac:dyDescent="0.2">
      <c r="A181" s="10">
        <v>16706</v>
      </c>
      <c r="B181" s="11">
        <v>42143</v>
      </c>
      <c r="C181" s="12">
        <v>255</v>
      </c>
      <c r="D181" s="12">
        <v>19.43</v>
      </c>
      <c r="E181" s="17"/>
      <c r="F181" s="18"/>
      <c r="G181" s="19"/>
      <c r="H181" s="12"/>
      <c r="I181" s="10"/>
    </row>
    <row r="182" spans="1:9" x14ac:dyDescent="0.2">
      <c r="A182" s="10">
        <v>16707</v>
      </c>
      <c r="B182" s="11">
        <v>42143</v>
      </c>
      <c r="C182" s="12">
        <v>500</v>
      </c>
      <c r="D182" s="12"/>
      <c r="E182" s="15" t="s">
        <v>372</v>
      </c>
      <c r="F182" s="21"/>
      <c r="G182" s="22"/>
      <c r="H182" s="10"/>
      <c r="I182" s="10"/>
    </row>
    <row r="183" spans="1:9" x14ac:dyDescent="0.2">
      <c r="A183" s="10">
        <v>16708</v>
      </c>
      <c r="B183" s="11">
        <v>42143</v>
      </c>
      <c r="C183" s="12">
        <v>400</v>
      </c>
      <c r="D183" s="12"/>
      <c r="E183" s="13" t="s">
        <v>276</v>
      </c>
      <c r="F183" s="33">
        <f>+C174+C176+C175+C182</f>
        <v>801.86</v>
      </c>
      <c r="G183" s="34">
        <v>796.03</v>
      </c>
      <c r="H183" s="12"/>
      <c r="I183" s="10"/>
    </row>
    <row r="184" spans="1:9" x14ac:dyDescent="0.2">
      <c r="A184" s="10">
        <v>16709</v>
      </c>
      <c r="B184" s="11">
        <v>42144</v>
      </c>
      <c r="C184" s="12">
        <v>339.91</v>
      </c>
      <c r="D184" s="12">
        <v>25.91</v>
      </c>
      <c r="E184" s="15" t="s">
        <v>294</v>
      </c>
      <c r="H184" s="10"/>
      <c r="I184" s="10"/>
    </row>
    <row r="185" spans="1:9" x14ac:dyDescent="0.2">
      <c r="A185" s="10">
        <v>16710</v>
      </c>
      <c r="B185" s="11">
        <v>42144</v>
      </c>
      <c r="C185" s="12">
        <v>12.15</v>
      </c>
      <c r="D185" s="12">
        <v>0.93</v>
      </c>
      <c r="E185" s="15" t="s">
        <v>268</v>
      </c>
      <c r="H185" s="10"/>
      <c r="I185" s="10"/>
    </row>
    <row r="186" spans="1:9" x14ac:dyDescent="0.2">
      <c r="A186" s="10">
        <v>16711</v>
      </c>
      <c r="B186" s="11">
        <v>42144</v>
      </c>
      <c r="C186" s="12">
        <v>14.07</v>
      </c>
      <c r="D186" s="12">
        <v>1.07</v>
      </c>
      <c r="E186" s="15" t="s">
        <v>11</v>
      </c>
      <c r="F186" s="21"/>
      <c r="G186" s="22"/>
      <c r="H186" s="10"/>
      <c r="I186" s="10"/>
    </row>
    <row r="187" spans="1:9" x14ac:dyDescent="0.2">
      <c r="A187" s="10">
        <v>16712</v>
      </c>
      <c r="B187" s="11">
        <v>42144</v>
      </c>
      <c r="C187" s="12">
        <v>74.69</v>
      </c>
      <c r="D187" s="12">
        <v>5.69</v>
      </c>
      <c r="E187" s="13"/>
      <c r="F187" s="18"/>
      <c r="G187" s="19"/>
      <c r="H187" s="12"/>
      <c r="I187" s="10"/>
    </row>
    <row r="188" spans="1:9" x14ac:dyDescent="0.2">
      <c r="A188" s="10">
        <v>16713</v>
      </c>
      <c r="B188" s="11">
        <v>42144</v>
      </c>
      <c r="C188" s="12">
        <v>126</v>
      </c>
      <c r="D188" s="12"/>
      <c r="E188" s="15" t="s">
        <v>21</v>
      </c>
      <c r="H188" s="10"/>
      <c r="I188" s="10"/>
    </row>
    <row r="189" spans="1:9" x14ac:dyDescent="0.2">
      <c r="A189" s="10">
        <v>16714</v>
      </c>
      <c r="B189" s="11">
        <v>42144</v>
      </c>
      <c r="C189" s="12">
        <v>37.89</v>
      </c>
      <c r="D189" s="12">
        <v>2.89</v>
      </c>
      <c r="E189" s="15" t="s">
        <v>21</v>
      </c>
      <c r="H189" s="10"/>
      <c r="I189" s="10"/>
    </row>
    <row r="190" spans="1:9" x14ac:dyDescent="0.2">
      <c r="A190" s="10">
        <v>16715</v>
      </c>
      <c r="B190" s="11">
        <v>42144</v>
      </c>
      <c r="C190" s="12">
        <v>0</v>
      </c>
      <c r="D190" s="12"/>
      <c r="E190" s="13" t="s">
        <v>373</v>
      </c>
      <c r="H190" s="12"/>
      <c r="I190" s="10"/>
    </row>
    <row r="191" spans="1:9" x14ac:dyDescent="0.2">
      <c r="A191" s="10">
        <v>16716</v>
      </c>
      <c r="B191" s="11">
        <v>42144</v>
      </c>
      <c r="C191" s="12">
        <v>81.19</v>
      </c>
      <c r="D191" s="12">
        <v>6.19</v>
      </c>
      <c r="E191" s="15" t="s">
        <v>11</v>
      </c>
      <c r="H191" s="10"/>
      <c r="I191" s="10"/>
    </row>
    <row r="192" spans="1:9" x14ac:dyDescent="0.2">
      <c r="A192" s="10">
        <v>16717</v>
      </c>
      <c r="B192" s="11">
        <v>42144</v>
      </c>
      <c r="C192" s="12">
        <v>8.66</v>
      </c>
      <c r="D192" s="12">
        <v>0.66</v>
      </c>
      <c r="E192" s="17"/>
      <c r="H192" s="12"/>
      <c r="I192" s="10"/>
    </row>
    <row r="193" spans="1:9" x14ac:dyDescent="0.2">
      <c r="A193" s="10">
        <v>16718</v>
      </c>
      <c r="B193" s="11">
        <v>42144</v>
      </c>
      <c r="C193" s="12">
        <v>146.13999999999999</v>
      </c>
      <c r="D193" s="12">
        <v>11.14</v>
      </c>
      <c r="E193" s="15" t="s">
        <v>11</v>
      </c>
      <c r="F193" s="33">
        <f>31.76+C186+C191+C193</f>
        <v>273.15999999999997</v>
      </c>
      <c r="G193" s="34">
        <v>270.77999999999997</v>
      </c>
      <c r="H193" s="10"/>
      <c r="I193" s="10"/>
    </row>
    <row r="194" spans="1:9" x14ac:dyDescent="0.2">
      <c r="A194" s="10">
        <v>16719</v>
      </c>
      <c r="B194" s="11">
        <v>42145</v>
      </c>
      <c r="C194" s="12">
        <v>474.14</v>
      </c>
      <c r="D194" s="12">
        <v>36.14</v>
      </c>
      <c r="E194" s="15" t="s">
        <v>11</v>
      </c>
      <c r="F194" s="21"/>
      <c r="G194" s="22"/>
      <c r="H194" s="10"/>
      <c r="I194" s="10"/>
    </row>
    <row r="195" spans="1:9" x14ac:dyDescent="0.2">
      <c r="A195" s="10">
        <v>16720</v>
      </c>
      <c r="B195" s="11">
        <v>42145</v>
      </c>
      <c r="C195" s="12">
        <v>583.36000000000013</v>
      </c>
      <c r="D195" s="12">
        <v>44.46</v>
      </c>
      <c r="E195" s="15" t="s">
        <v>7</v>
      </c>
      <c r="F195" s="21"/>
      <c r="G195" s="22"/>
      <c r="H195" s="10"/>
      <c r="I195" s="10"/>
    </row>
    <row r="196" spans="1:9" x14ac:dyDescent="0.2">
      <c r="A196" s="10">
        <v>16721</v>
      </c>
      <c r="B196" s="11">
        <v>42145</v>
      </c>
      <c r="C196" s="12">
        <v>26</v>
      </c>
      <c r="D196" s="12"/>
      <c r="E196" s="15" t="s">
        <v>21</v>
      </c>
      <c r="F196" s="21"/>
      <c r="G196" s="22"/>
      <c r="H196" s="10"/>
      <c r="I196" s="10"/>
    </row>
    <row r="197" spans="1:9" x14ac:dyDescent="0.2">
      <c r="A197" s="10">
        <v>16722</v>
      </c>
      <c r="B197" s="11">
        <v>42145</v>
      </c>
      <c r="C197" s="12">
        <v>45.47</v>
      </c>
      <c r="D197" s="12">
        <v>3.47</v>
      </c>
      <c r="E197" s="15" t="s">
        <v>21</v>
      </c>
      <c r="H197" s="10"/>
      <c r="I197" s="10"/>
    </row>
    <row r="198" spans="1:9" x14ac:dyDescent="0.2">
      <c r="A198" s="10">
        <v>16723</v>
      </c>
      <c r="B198" s="11">
        <v>42145</v>
      </c>
      <c r="C198" s="12">
        <v>74.69</v>
      </c>
      <c r="D198" s="12">
        <v>5.69</v>
      </c>
      <c r="E198" s="15" t="s">
        <v>7</v>
      </c>
      <c r="F198" s="33">
        <f>+C194+C195</f>
        <v>1057.5</v>
      </c>
      <c r="G198" s="34">
        <v>1036.1199999999999</v>
      </c>
      <c r="H198" s="10"/>
      <c r="I198" s="10"/>
    </row>
    <row r="199" spans="1:9" x14ac:dyDescent="0.2">
      <c r="A199" s="10">
        <v>16724</v>
      </c>
      <c r="B199" s="11">
        <v>42146</v>
      </c>
      <c r="C199" s="12">
        <v>379</v>
      </c>
      <c r="D199" s="12">
        <v>28.88</v>
      </c>
      <c r="E199" s="17"/>
      <c r="H199" s="12"/>
      <c r="I199" s="10"/>
    </row>
    <row r="200" spans="1:9" x14ac:dyDescent="0.2">
      <c r="A200" s="10">
        <v>16725</v>
      </c>
      <c r="B200" s="11">
        <v>42146</v>
      </c>
      <c r="C200" s="12">
        <v>150.47</v>
      </c>
      <c r="D200" s="12">
        <v>11.47</v>
      </c>
      <c r="E200" s="15" t="s">
        <v>374</v>
      </c>
      <c r="H200" s="10"/>
      <c r="I200" s="10"/>
    </row>
    <row r="201" spans="1:9" x14ac:dyDescent="0.2">
      <c r="A201" s="10">
        <v>16726</v>
      </c>
      <c r="B201" s="11">
        <v>42146</v>
      </c>
      <c r="C201" s="12">
        <v>67.12</v>
      </c>
      <c r="D201" s="12">
        <v>5.12</v>
      </c>
      <c r="E201" s="15" t="s">
        <v>11</v>
      </c>
      <c r="F201" s="33">
        <f>74.69+90+C201</f>
        <v>231.81</v>
      </c>
      <c r="G201" s="34">
        <v>228.93</v>
      </c>
      <c r="H201" s="10"/>
      <c r="I201" s="10"/>
    </row>
    <row r="202" spans="1:9" x14ac:dyDescent="0.2">
      <c r="A202" s="10">
        <v>16727</v>
      </c>
      <c r="B202" s="11">
        <v>42147</v>
      </c>
      <c r="C202" s="12">
        <v>81.19</v>
      </c>
      <c r="D202" s="12">
        <v>6.19</v>
      </c>
      <c r="E202" s="15" t="s">
        <v>7</v>
      </c>
      <c r="F202" s="21"/>
      <c r="G202" s="22"/>
      <c r="H202" s="10"/>
      <c r="I202" s="10"/>
    </row>
    <row r="203" spans="1:9" x14ac:dyDescent="0.2">
      <c r="A203" s="10">
        <v>16728</v>
      </c>
      <c r="B203" s="11">
        <v>42147</v>
      </c>
      <c r="C203" s="12">
        <v>70.36</v>
      </c>
      <c r="D203" s="12">
        <v>5.36</v>
      </c>
      <c r="E203" s="15" t="s">
        <v>11</v>
      </c>
      <c r="H203" s="10"/>
      <c r="I203" s="10"/>
    </row>
    <row r="204" spans="1:9" x14ac:dyDescent="0.2">
      <c r="A204" s="10">
        <v>16729</v>
      </c>
      <c r="B204" s="11">
        <v>42147</v>
      </c>
      <c r="C204" s="12">
        <v>14.29</v>
      </c>
      <c r="D204" s="12">
        <v>1.0900000000000001</v>
      </c>
      <c r="E204" s="15" t="s">
        <v>11</v>
      </c>
      <c r="H204" s="10"/>
      <c r="I204" s="10"/>
    </row>
    <row r="205" spans="1:9" x14ac:dyDescent="0.2">
      <c r="A205" s="10">
        <v>16730</v>
      </c>
      <c r="B205" s="11">
        <v>42147</v>
      </c>
      <c r="C205" s="12">
        <v>14.879999999999999</v>
      </c>
      <c r="D205" s="12">
        <v>1.1299999999999999</v>
      </c>
      <c r="E205" s="15" t="s">
        <v>11</v>
      </c>
      <c r="H205" s="10"/>
      <c r="I205" s="10"/>
    </row>
    <row r="206" spans="1:9" x14ac:dyDescent="0.2">
      <c r="A206" s="10">
        <v>16731</v>
      </c>
      <c r="B206" s="11">
        <v>42147</v>
      </c>
      <c r="C206" s="12">
        <v>88.77</v>
      </c>
      <c r="D206" s="12">
        <v>6.77</v>
      </c>
      <c r="E206" s="17"/>
      <c r="H206" s="12"/>
      <c r="I206" s="10"/>
    </row>
    <row r="207" spans="1:9" x14ac:dyDescent="0.2">
      <c r="A207" s="10">
        <v>16732</v>
      </c>
      <c r="B207" s="11">
        <v>42147</v>
      </c>
      <c r="C207" s="12">
        <v>27.06</v>
      </c>
      <c r="D207" s="12">
        <v>2.06</v>
      </c>
      <c r="E207" s="17"/>
      <c r="H207" s="12"/>
      <c r="I207" s="10"/>
    </row>
    <row r="208" spans="1:9" x14ac:dyDescent="0.2">
      <c r="A208" s="10">
        <v>16733</v>
      </c>
      <c r="B208" s="11">
        <v>42147</v>
      </c>
      <c r="C208" s="12">
        <v>15.16</v>
      </c>
      <c r="D208" s="12">
        <v>1.1599999999999999</v>
      </c>
      <c r="E208" s="15" t="s">
        <v>7</v>
      </c>
      <c r="F208" s="33">
        <f>+C202+C204+C203+C205+C208</f>
        <v>195.87999999999997</v>
      </c>
      <c r="G208" s="34">
        <v>191.17</v>
      </c>
      <c r="H208" s="10"/>
      <c r="I208" s="10"/>
    </row>
    <row r="209" spans="1:9" x14ac:dyDescent="0.2">
      <c r="A209" s="10">
        <v>16734</v>
      </c>
      <c r="B209" s="11">
        <v>42149</v>
      </c>
      <c r="C209" s="12">
        <v>30.31</v>
      </c>
      <c r="D209" s="12">
        <v>2.31</v>
      </c>
      <c r="E209" s="15" t="s">
        <v>11</v>
      </c>
      <c r="H209" s="10"/>
      <c r="I209" s="10"/>
    </row>
    <row r="210" spans="1:9" x14ac:dyDescent="0.2">
      <c r="A210" s="10">
        <v>16735</v>
      </c>
      <c r="B210" s="11">
        <v>42149</v>
      </c>
      <c r="C210" s="12">
        <v>85.52</v>
      </c>
      <c r="D210" s="12">
        <v>6.52</v>
      </c>
      <c r="E210" s="15" t="s">
        <v>11</v>
      </c>
      <c r="H210" s="10"/>
      <c r="I210" s="10"/>
    </row>
    <row r="211" spans="1:9" x14ac:dyDescent="0.2">
      <c r="A211" s="10">
        <v>16736</v>
      </c>
      <c r="B211" s="11">
        <v>42149</v>
      </c>
      <c r="C211" s="12">
        <v>64.08</v>
      </c>
      <c r="D211" s="12">
        <v>4.88</v>
      </c>
      <c r="E211" s="17"/>
      <c r="H211" s="12"/>
      <c r="I211" s="10"/>
    </row>
    <row r="212" spans="1:9" x14ac:dyDescent="0.2">
      <c r="A212" s="10">
        <v>16737</v>
      </c>
      <c r="B212" s="11">
        <v>42149</v>
      </c>
      <c r="C212" s="12">
        <v>286.86</v>
      </c>
      <c r="D212" s="12">
        <v>21.86</v>
      </c>
      <c r="E212" s="15" t="s">
        <v>11</v>
      </c>
      <c r="H212" s="10"/>
      <c r="I212" s="10"/>
    </row>
    <row r="213" spans="1:9" x14ac:dyDescent="0.2">
      <c r="A213" s="10">
        <v>16738</v>
      </c>
      <c r="B213" s="11">
        <v>42149</v>
      </c>
      <c r="C213" s="12">
        <v>40</v>
      </c>
      <c r="D213" s="12">
        <v>3.05</v>
      </c>
      <c r="E213" s="15" t="s">
        <v>11</v>
      </c>
      <c r="H213" s="10"/>
      <c r="I213" s="10"/>
    </row>
    <row r="214" spans="1:9" x14ac:dyDescent="0.2">
      <c r="A214" s="10">
        <v>16739</v>
      </c>
      <c r="B214" s="11">
        <v>42149</v>
      </c>
      <c r="C214" s="12">
        <v>142.88999999999999</v>
      </c>
      <c r="D214" s="12">
        <v>10.89</v>
      </c>
      <c r="E214" s="15" t="s">
        <v>11</v>
      </c>
      <c r="H214" s="10"/>
      <c r="I214" s="10"/>
    </row>
    <row r="215" spans="1:9" x14ac:dyDescent="0.2">
      <c r="A215" s="10">
        <v>16740</v>
      </c>
      <c r="B215" s="11">
        <v>42149</v>
      </c>
      <c r="C215" s="12">
        <v>63.87</v>
      </c>
      <c r="D215" s="12">
        <v>4.87</v>
      </c>
      <c r="E215" s="17"/>
      <c r="H215" s="12"/>
      <c r="I215" s="10"/>
    </row>
    <row r="216" spans="1:9" x14ac:dyDescent="0.2">
      <c r="A216" s="10">
        <v>16741</v>
      </c>
      <c r="B216" s="11">
        <v>42149</v>
      </c>
      <c r="C216" s="12">
        <v>15</v>
      </c>
      <c r="D216" s="12">
        <v>1.1399999999999999</v>
      </c>
      <c r="E216" s="17"/>
      <c r="H216" s="12"/>
      <c r="I216" s="10"/>
    </row>
    <row r="217" spans="1:9" x14ac:dyDescent="0.2">
      <c r="A217" s="10">
        <v>16742</v>
      </c>
      <c r="B217" s="11">
        <v>42149</v>
      </c>
      <c r="C217" s="12">
        <v>6.44</v>
      </c>
      <c r="D217" s="12">
        <v>0.49</v>
      </c>
      <c r="E217" s="17"/>
      <c r="H217" s="12"/>
      <c r="I217" s="10"/>
    </row>
    <row r="218" spans="1:9" x14ac:dyDescent="0.2">
      <c r="A218" s="10">
        <v>16743</v>
      </c>
      <c r="B218" s="11">
        <v>42149</v>
      </c>
      <c r="C218" s="12">
        <v>21.599999999999998</v>
      </c>
      <c r="D218" s="12">
        <v>1.65</v>
      </c>
      <c r="E218" s="17"/>
      <c r="H218" s="12"/>
      <c r="I218" s="10"/>
    </row>
    <row r="219" spans="1:9" x14ac:dyDescent="0.2">
      <c r="A219" s="10">
        <v>16744</v>
      </c>
      <c r="B219" s="11">
        <v>42149</v>
      </c>
      <c r="C219" s="12">
        <v>14.02</v>
      </c>
      <c r="D219" s="12">
        <v>1.07</v>
      </c>
      <c r="E219" s="15" t="s">
        <v>11</v>
      </c>
      <c r="H219" s="10"/>
      <c r="I219" s="10"/>
    </row>
    <row r="220" spans="1:9" x14ac:dyDescent="0.2">
      <c r="A220" s="10">
        <v>16745</v>
      </c>
      <c r="B220" s="11">
        <v>42149</v>
      </c>
      <c r="C220" s="12">
        <v>20</v>
      </c>
      <c r="D220" s="12">
        <v>1.52</v>
      </c>
      <c r="E220" s="15"/>
      <c r="F220" s="49"/>
      <c r="G220" s="22"/>
      <c r="H220" s="10"/>
      <c r="I220" s="10"/>
    </row>
    <row r="221" spans="1:9" x14ac:dyDescent="0.2">
      <c r="A221" s="10">
        <v>16746</v>
      </c>
      <c r="B221" s="11">
        <v>42149</v>
      </c>
      <c r="C221" s="12">
        <v>194.85</v>
      </c>
      <c r="D221" s="12">
        <v>14.85</v>
      </c>
      <c r="E221" s="15" t="s">
        <v>21</v>
      </c>
      <c r="F221" s="33">
        <f>+C209+C210+C212+C213+C214+C219</f>
        <v>599.59999999999991</v>
      </c>
      <c r="G221" s="34">
        <v>595.28</v>
      </c>
      <c r="H221" s="10"/>
      <c r="I221" s="10"/>
    </row>
    <row r="222" spans="1:9" x14ac:dyDescent="0.2">
      <c r="A222" s="10">
        <v>16747</v>
      </c>
      <c r="B222" s="11">
        <v>42150</v>
      </c>
      <c r="C222" s="12">
        <v>149.4</v>
      </c>
      <c r="D222" s="12"/>
      <c r="E222" s="13" t="s">
        <v>365</v>
      </c>
      <c r="F222" s="18"/>
      <c r="G222" s="19"/>
      <c r="H222" s="12"/>
      <c r="I222" s="10"/>
    </row>
    <row r="223" spans="1:9" x14ac:dyDescent="0.2">
      <c r="A223" s="10">
        <v>16748</v>
      </c>
      <c r="B223" s="11">
        <v>42150</v>
      </c>
      <c r="C223" s="12">
        <v>28.15</v>
      </c>
      <c r="D223" s="12">
        <v>2.15</v>
      </c>
      <c r="E223" s="17"/>
      <c r="H223" s="12"/>
      <c r="I223" s="10"/>
    </row>
    <row r="224" spans="1:9" x14ac:dyDescent="0.2">
      <c r="A224" s="10">
        <v>16749</v>
      </c>
      <c r="B224" s="11">
        <v>42150</v>
      </c>
      <c r="C224" s="12">
        <v>12</v>
      </c>
      <c r="D224" s="12">
        <v>0.91</v>
      </c>
      <c r="E224" s="17"/>
      <c r="F224" s="18"/>
      <c r="G224" s="19"/>
      <c r="H224" s="12"/>
      <c r="I224" s="10"/>
    </row>
    <row r="225" spans="1:9" x14ac:dyDescent="0.2">
      <c r="A225" s="10">
        <v>16750</v>
      </c>
      <c r="B225" s="11">
        <v>42150</v>
      </c>
      <c r="C225" s="12">
        <v>23.25</v>
      </c>
      <c r="D225" s="12">
        <v>1.77</v>
      </c>
      <c r="E225" s="17"/>
      <c r="F225" s="18"/>
      <c r="G225" s="19"/>
      <c r="H225" s="12"/>
      <c r="I225" s="10"/>
    </row>
    <row r="226" spans="1:9" x14ac:dyDescent="0.2">
      <c r="A226" s="10">
        <v>16751</v>
      </c>
      <c r="B226" s="11">
        <v>42150</v>
      </c>
      <c r="C226" s="12">
        <v>86.79</v>
      </c>
      <c r="D226" s="12">
        <v>6.61</v>
      </c>
      <c r="E226" s="15" t="s">
        <v>11</v>
      </c>
      <c r="H226" s="10"/>
      <c r="I226" s="10"/>
    </row>
    <row r="227" spans="1:9" x14ac:dyDescent="0.2">
      <c r="A227" s="10">
        <v>16752</v>
      </c>
      <c r="B227" s="11">
        <v>42150</v>
      </c>
      <c r="C227" s="12">
        <v>4850</v>
      </c>
      <c r="D227" s="12"/>
      <c r="E227" s="15" t="s">
        <v>303</v>
      </c>
      <c r="F227" s="33">
        <f>+C226</f>
        <v>86.79</v>
      </c>
      <c r="G227" s="34">
        <v>86.17</v>
      </c>
      <c r="H227" s="10"/>
      <c r="I227" s="10"/>
    </row>
    <row r="228" spans="1:9" x14ac:dyDescent="0.2">
      <c r="A228" s="10">
        <v>16753</v>
      </c>
      <c r="B228" s="11">
        <v>42151</v>
      </c>
      <c r="C228" s="12">
        <v>122.32</v>
      </c>
      <c r="D228" s="12">
        <v>9.32</v>
      </c>
      <c r="E228" s="17"/>
      <c r="F228" s="18"/>
      <c r="G228" s="19"/>
      <c r="H228" s="12"/>
      <c r="I228" s="10"/>
    </row>
    <row r="229" spans="1:9" x14ac:dyDescent="0.2">
      <c r="A229" s="10">
        <v>16754</v>
      </c>
      <c r="B229" s="11">
        <v>42151</v>
      </c>
      <c r="C229" s="12">
        <v>100.67</v>
      </c>
      <c r="D229" s="12">
        <v>7.67</v>
      </c>
      <c r="E229" s="15" t="s">
        <v>21</v>
      </c>
      <c r="H229" s="10"/>
      <c r="I229" s="10"/>
    </row>
    <row r="230" spans="1:9" x14ac:dyDescent="0.2">
      <c r="A230" s="10">
        <v>16755</v>
      </c>
      <c r="B230" s="11">
        <v>42151</v>
      </c>
      <c r="C230" s="12">
        <v>7.5200000000000005</v>
      </c>
      <c r="D230" s="12">
        <v>0.56999999999999995</v>
      </c>
      <c r="E230" s="17"/>
      <c r="H230" s="12"/>
      <c r="I230" s="10"/>
    </row>
    <row r="231" spans="1:9" x14ac:dyDescent="0.2">
      <c r="A231" s="10">
        <v>16756</v>
      </c>
      <c r="B231" s="11">
        <v>42151</v>
      </c>
      <c r="C231" s="12">
        <v>42.22</v>
      </c>
      <c r="D231" s="12">
        <v>3.22</v>
      </c>
      <c r="E231" s="15" t="s">
        <v>7</v>
      </c>
      <c r="H231" s="10"/>
      <c r="I231" s="10"/>
    </row>
    <row r="232" spans="1:9" x14ac:dyDescent="0.2">
      <c r="A232" s="10">
        <v>16757</v>
      </c>
      <c r="B232" s="11">
        <v>42151</v>
      </c>
      <c r="C232" s="12">
        <v>17.829999999999998</v>
      </c>
      <c r="D232" s="12"/>
      <c r="E232" s="17"/>
      <c r="F232" s="18"/>
      <c r="G232" s="19"/>
      <c r="H232" s="12"/>
      <c r="I232" s="10"/>
    </row>
    <row r="233" spans="1:9" x14ac:dyDescent="0.2">
      <c r="A233" s="10">
        <v>16758</v>
      </c>
      <c r="B233" s="11">
        <v>42151</v>
      </c>
      <c r="C233" s="12">
        <v>95.26</v>
      </c>
      <c r="D233" s="12">
        <v>7.26</v>
      </c>
      <c r="E233" s="17"/>
      <c r="F233" s="18"/>
      <c r="G233" s="19"/>
      <c r="H233" s="12"/>
      <c r="I233" s="10"/>
    </row>
    <row r="234" spans="1:9" x14ac:dyDescent="0.2">
      <c r="A234" s="10">
        <v>16759</v>
      </c>
      <c r="B234" s="11">
        <v>42151</v>
      </c>
      <c r="C234" s="12">
        <v>15</v>
      </c>
      <c r="D234" s="12">
        <v>1.1399999999999999</v>
      </c>
      <c r="E234" s="15" t="s">
        <v>11</v>
      </c>
      <c r="F234" s="21"/>
      <c r="G234" s="22"/>
      <c r="H234" s="10"/>
      <c r="I234" s="10"/>
    </row>
    <row r="235" spans="1:9" x14ac:dyDescent="0.2">
      <c r="A235" s="10">
        <v>16760</v>
      </c>
      <c r="B235" s="11">
        <v>42151</v>
      </c>
      <c r="C235" s="12">
        <v>60.62</v>
      </c>
      <c r="D235" s="12">
        <v>4.62</v>
      </c>
      <c r="E235" s="13"/>
      <c r="F235" s="18"/>
      <c r="G235" s="19"/>
      <c r="H235" s="12"/>
      <c r="I235" s="10"/>
    </row>
    <row r="236" spans="1:9" x14ac:dyDescent="0.2">
      <c r="A236" s="10">
        <v>16761</v>
      </c>
      <c r="B236" s="11">
        <v>42151</v>
      </c>
      <c r="C236" s="12">
        <v>75.78</v>
      </c>
      <c r="D236" s="12">
        <v>5.78</v>
      </c>
      <c r="E236" s="15" t="s">
        <v>21</v>
      </c>
      <c r="H236" s="10"/>
      <c r="I236" s="10"/>
    </row>
    <row r="237" spans="1:9" x14ac:dyDescent="0.2">
      <c r="A237" s="10">
        <v>16762</v>
      </c>
      <c r="B237" s="11">
        <v>42151</v>
      </c>
      <c r="C237" s="12">
        <v>37.830000000000005</v>
      </c>
      <c r="D237" s="12">
        <v>2.88</v>
      </c>
      <c r="E237" s="17"/>
      <c r="F237" s="18"/>
      <c r="G237" s="19"/>
      <c r="H237" s="12"/>
      <c r="I237" s="10"/>
    </row>
    <row r="238" spans="1:9" x14ac:dyDescent="0.2">
      <c r="A238" s="10">
        <v>16763</v>
      </c>
      <c r="B238" s="11">
        <v>42151</v>
      </c>
      <c r="C238" s="12">
        <v>267.38</v>
      </c>
      <c r="D238" s="12">
        <v>20.38</v>
      </c>
      <c r="E238" s="17"/>
      <c r="F238" s="18"/>
      <c r="G238" s="19"/>
      <c r="H238" s="12"/>
      <c r="I238" s="10"/>
    </row>
    <row r="239" spans="1:9" x14ac:dyDescent="0.2">
      <c r="A239" s="10">
        <v>16764</v>
      </c>
      <c r="B239" s="11">
        <v>42151</v>
      </c>
      <c r="C239" s="12">
        <v>37.830000000000005</v>
      </c>
      <c r="D239" s="12">
        <v>2.88</v>
      </c>
      <c r="E239" s="15" t="s">
        <v>11</v>
      </c>
      <c r="F239" s="33">
        <f>+C231+C234+C239</f>
        <v>95.050000000000011</v>
      </c>
      <c r="G239" s="34">
        <v>92.74</v>
      </c>
      <c r="H239" s="10"/>
      <c r="I239" s="10"/>
    </row>
    <row r="240" spans="1:9" x14ac:dyDescent="0.2">
      <c r="A240" s="10">
        <v>16765</v>
      </c>
      <c r="B240" s="11">
        <v>42152</v>
      </c>
      <c r="C240" s="12">
        <v>307.43</v>
      </c>
      <c r="D240" s="12">
        <v>23.43</v>
      </c>
      <c r="E240" s="15" t="s">
        <v>11</v>
      </c>
      <c r="H240" s="10"/>
      <c r="I240" s="10"/>
    </row>
    <row r="241" spans="1:9" x14ac:dyDescent="0.2">
      <c r="A241" s="10">
        <v>16766</v>
      </c>
      <c r="B241" s="11">
        <v>42152</v>
      </c>
      <c r="C241" s="12">
        <v>108.25</v>
      </c>
      <c r="D241" s="12">
        <v>8.25</v>
      </c>
      <c r="E241" s="15" t="s">
        <v>21</v>
      </c>
      <c r="H241" s="10"/>
      <c r="I241" s="10"/>
    </row>
    <row r="242" spans="1:9" x14ac:dyDescent="0.2">
      <c r="A242" s="10">
        <v>16767</v>
      </c>
      <c r="B242" s="11">
        <v>42152</v>
      </c>
      <c r="C242" s="12">
        <v>51</v>
      </c>
      <c r="D242" s="12"/>
      <c r="E242" s="13" t="s">
        <v>77</v>
      </c>
      <c r="F242" s="18"/>
      <c r="G242" s="19"/>
      <c r="H242" s="12"/>
      <c r="I242" s="10"/>
    </row>
    <row r="243" spans="1:9" x14ac:dyDescent="0.2">
      <c r="A243" s="10">
        <v>16768</v>
      </c>
      <c r="B243" s="11">
        <v>42152</v>
      </c>
      <c r="C243" s="12">
        <v>64.95</v>
      </c>
      <c r="D243" s="12">
        <v>4.95</v>
      </c>
      <c r="E243" s="15" t="s">
        <v>21</v>
      </c>
      <c r="H243" s="10"/>
      <c r="I243" s="10"/>
    </row>
    <row r="244" spans="1:9" x14ac:dyDescent="0.2">
      <c r="A244" s="10">
        <v>16769</v>
      </c>
      <c r="B244" s="11">
        <v>42152</v>
      </c>
      <c r="C244" s="12">
        <v>86.6</v>
      </c>
      <c r="D244" s="12">
        <v>6.6</v>
      </c>
      <c r="E244" s="15" t="s">
        <v>375</v>
      </c>
      <c r="F244" s="21"/>
      <c r="G244" s="22"/>
      <c r="H244" s="10"/>
      <c r="I244" s="10"/>
    </row>
    <row r="245" spans="1:9" x14ac:dyDescent="0.2">
      <c r="A245" s="10">
        <v>16770</v>
      </c>
      <c r="B245" s="11">
        <v>42152</v>
      </c>
      <c r="C245" s="12">
        <v>382.12</v>
      </c>
      <c r="D245" s="12">
        <v>29.12</v>
      </c>
      <c r="E245" s="15" t="s">
        <v>11</v>
      </c>
      <c r="H245" s="10"/>
      <c r="I245" s="10"/>
    </row>
    <row r="246" spans="1:9" x14ac:dyDescent="0.2">
      <c r="A246" s="10">
        <v>16771</v>
      </c>
      <c r="B246" s="11">
        <v>42152</v>
      </c>
      <c r="C246" s="12">
        <v>60.62</v>
      </c>
      <c r="D246" s="12">
        <v>4.62</v>
      </c>
      <c r="E246" s="17"/>
      <c r="H246" s="12"/>
      <c r="I246" s="10"/>
    </row>
    <row r="247" spans="1:9" x14ac:dyDescent="0.2">
      <c r="A247" s="10">
        <v>16772</v>
      </c>
      <c r="B247" s="11">
        <v>42152</v>
      </c>
      <c r="C247" s="12">
        <v>201.89</v>
      </c>
      <c r="D247" s="12">
        <v>15.39</v>
      </c>
      <c r="E247" s="15" t="s">
        <v>7</v>
      </c>
      <c r="H247" s="10"/>
      <c r="I247" s="10"/>
    </row>
    <row r="248" spans="1:9" x14ac:dyDescent="0.2">
      <c r="A248" s="10">
        <v>16773</v>
      </c>
      <c r="B248" s="11">
        <v>42152</v>
      </c>
      <c r="C248" s="12">
        <v>6.04</v>
      </c>
      <c r="D248" s="12"/>
      <c r="E248" s="15" t="s">
        <v>368</v>
      </c>
      <c r="F248" s="21"/>
      <c r="G248" s="22"/>
      <c r="H248" s="10"/>
      <c r="I248" s="10"/>
    </row>
    <row r="249" spans="1:9" x14ac:dyDescent="0.2">
      <c r="A249" s="10">
        <v>16774</v>
      </c>
      <c r="B249" s="11">
        <v>42152</v>
      </c>
      <c r="C249" s="12">
        <v>115.83</v>
      </c>
      <c r="D249" s="12">
        <v>8.83</v>
      </c>
      <c r="E249" s="15" t="s">
        <v>11</v>
      </c>
      <c r="H249" s="10"/>
      <c r="I249" s="10"/>
    </row>
    <row r="250" spans="1:9" x14ac:dyDescent="0.2">
      <c r="A250" s="10">
        <v>16775</v>
      </c>
      <c r="B250" s="11">
        <v>42152</v>
      </c>
      <c r="C250" s="12">
        <v>15</v>
      </c>
      <c r="D250" s="12">
        <v>1.1399999999999999</v>
      </c>
      <c r="E250" s="15" t="s">
        <v>11</v>
      </c>
      <c r="H250" s="10"/>
      <c r="I250" s="10"/>
    </row>
    <row r="251" spans="1:9" x14ac:dyDescent="0.2">
      <c r="A251" s="10">
        <v>16776</v>
      </c>
      <c r="B251" s="11">
        <v>42152</v>
      </c>
      <c r="C251" s="12">
        <v>40</v>
      </c>
      <c r="D251" s="12">
        <v>3.05</v>
      </c>
      <c r="E251" s="17"/>
      <c r="F251" s="33">
        <f>+C240+C245+C248+C249+C247+C250</f>
        <v>1028.31</v>
      </c>
      <c r="G251" s="34">
        <v>1010.33</v>
      </c>
      <c r="H251" s="12"/>
      <c r="I251" s="10"/>
    </row>
    <row r="252" spans="1:9" x14ac:dyDescent="0.2">
      <c r="A252" s="10">
        <v>16777</v>
      </c>
      <c r="B252" s="11">
        <v>42153</v>
      </c>
      <c r="C252" s="12">
        <v>112.5</v>
      </c>
      <c r="D252" s="12"/>
      <c r="E252" s="15" t="s">
        <v>271</v>
      </c>
      <c r="F252" s="21"/>
      <c r="G252" s="22"/>
      <c r="H252" s="10"/>
      <c r="I252" s="10"/>
    </row>
    <row r="253" spans="1:9" x14ac:dyDescent="0.2">
      <c r="A253" s="10">
        <v>16778</v>
      </c>
      <c r="B253" s="11">
        <v>42153</v>
      </c>
      <c r="C253" s="12">
        <v>24.5</v>
      </c>
      <c r="D253" s="12"/>
      <c r="E253" s="15" t="s">
        <v>368</v>
      </c>
      <c r="H253" s="10"/>
      <c r="I253" s="10"/>
    </row>
    <row r="254" spans="1:9" x14ac:dyDescent="0.2">
      <c r="A254" s="10">
        <v>16779</v>
      </c>
      <c r="B254" s="11">
        <v>42153</v>
      </c>
      <c r="C254" s="12">
        <v>140</v>
      </c>
      <c r="D254" s="12"/>
      <c r="E254" s="13" t="s">
        <v>365</v>
      </c>
      <c r="H254" s="12"/>
      <c r="I254" s="10"/>
    </row>
    <row r="255" spans="1:9" x14ac:dyDescent="0.2">
      <c r="A255" s="10">
        <v>16780</v>
      </c>
      <c r="B255" s="11">
        <v>42153</v>
      </c>
      <c r="C255" s="12">
        <v>309.38</v>
      </c>
      <c r="D255" s="12">
        <v>23.58</v>
      </c>
      <c r="E255" s="15" t="s">
        <v>376</v>
      </c>
      <c r="H255" s="10"/>
      <c r="I255" s="10"/>
    </row>
    <row r="256" spans="1:9" x14ac:dyDescent="0.2">
      <c r="A256" s="10">
        <v>16781</v>
      </c>
      <c r="B256" s="11">
        <v>42153</v>
      </c>
      <c r="C256" s="12">
        <v>12.88</v>
      </c>
      <c r="D256" s="12">
        <v>0.98</v>
      </c>
      <c r="E256" s="17"/>
      <c r="F256" s="18"/>
      <c r="G256" s="19"/>
      <c r="H256" s="12"/>
      <c r="I256" s="10"/>
    </row>
    <row r="257" spans="1:9" x14ac:dyDescent="0.2">
      <c r="A257" s="10">
        <v>16782</v>
      </c>
      <c r="B257" s="11">
        <v>42153</v>
      </c>
      <c r="C257" s="12">
        <v>81.13</v>
      </c>
      <c r="D257" s="12">
        <v>6.18</v>
      </c>
      <c r="E257" s="15" t="s">
        <v>11</v>
      </c>
      <c r="H257" s="10"/>
      <c r="I257" s="10"/>
    </row>
    <row r="258" spans="1:9" x14ac:dyDescent="0.2">
      <c r="A258" s="10">
        <v>16783</v>
      </c>
      <c r="B258" s="11">
        <v>42153</v>
      </c>
      <c r="C258" s="12">
        <v>112.58</v>
      </c>
      <c r="D258" s="12">
        <v>8.58</v>
      </c>
      <c r="E258" s="17"/>
      <c r="F258" s="18"/>
      <c r="G258" s="19"/>
      <c r="H258" s="12"/>
      <c r="I258" s="10"/>
    </row>
    <row r="259" spans="1:9" x14ac:dyDescent="0.2">
      <c r="A259" s="10">
        <v>16784</v>
      </c>
      <c r="B259" s="11">
        <v>42153</v>
      </c>
      <c r="C259" s="12">
        <v>23.82</v>
      </c>
      <c r="D259" s="12">
        <v>1.82</v>
      </c>
      <c r="E259" s="15" t="s">
        <v>11</v>
      </c>
      <c r="F259" s="21"/>
      <c r="G259" s="22"/>
      <c r="H259" s="10"/>
      <c r="I259" s="10"/>
    </row>
    <row r="260" spans="1:9" x14ac:dyDescent="0.2">
      <c r="A260" s="10">
        <v>16785</v>
      </c>
      <c r="B260" s="11">
        <v>42153</v>
      </c>
      <c r="C260" s="12">
        <v>421.09000000000003</v>
      </c>
      <c r="D260" s="12">
        <v>32.090000000000003</v>
      </c>
      <c r="E260" s="15" t="s">
        <v>7</v>
      </c>
      <c r="H260" s="10"/>
      <c r="I260" s="10"/>
    </row>
    <row r="261" spans="1:9" x14ac:dyDescent="0.2">
      <c r="A261" s="10">
        <v>16786</v>
      </c>
      <c r="B261" s="11">
        <v>42153</v>
      </c>
      <c r="C261" s="12">
        <v>205</v>
      </c>
      <c r="D261" s="12">
        <v>15.62</v>
      </c>
      <c r="E261" s="17"/>
      <c r="F261" s="33">
        <f>+C253+C257+C259+C260</f>
        <v>550.54</v>
      </c>
      <c r="G261" s="34">
        <v>543.25</v>
      </c>
      <c r="H261" s="12"/>
      <c r="I261" s="10"/>
    </row>
    <row r="262" spans="1:9" x14ac:dyDescent="0.2">
      <c r="A262" s="10">
        <v>16787</v>
      </c>
      <c r="B262" s="11">
        <v>42154</v>
      </c>
      <c r="C262" s="12">
        <v>120.7</v>
      </c>
      <c r="D262" s="12">
        <v>9.1999999999999993</v>
      </c>
      <c r="E262" s="15" t="s">
        <v>11</v>
      </c>
      <c r="F262" s="21"/>
      <c r="G262" s="22"/>
      <c r="H262" s="10"/>
      <c r="I262" s="10"/>
    </row>
    <row r="263" spans="1:9" x14ac:dyDescent="0.2">
      <c r="A263" s="10">
        <v>16788</v>
      </c>
      <c r="B263" s="11">
        <v>42154</v>
      </c>
      <c r="C263" s="12">
        <v>4</v>
      </c>
      <c r="D263" s="12">
        <v>0.3</v>
      </c>
      <c r="E263" s="17"/>
      <c r="H263" s="12"/>
      <c r="I263" s="10"/>
    </row>
    <row r="264" spans="1:9" x14ac:dyDescent="0.2">
      <c r="A264" s="10">
        <v>16789</v>
      </c>
      <c r="B264" s="11">
        <v>42154</v>
      </c>
      <c r="C264" s="12">
        <v>201.89</v>
      </c>
      <c r="D264" s="12">
        <v>15.39</v>
      </c>
      <c r="E264" s="15" t="s">
        <v>7</v>
      </c>
      <c r="H264" s="10"/>
      <c r="I264" s="10"/>
    </row>
    <row r="265" spans="1:9" x14ac:dyDescent="0.2">
      <c r="A265" s="10">
        <v>16790</v>
      </c>
      <c r="B265" s="11">
        <v>42154</v>
      </c>
      <c r="C265" s="12">
        <v>180.78</v>
      </c>
      <c r="D265" s="12">
        <v>13.78</v>
      </c>
      <c r="E265" s="15" t="s">
        <v>11</v>
      </c>
      <c r="H265" s="10"/>
      <c r="I265" s="10"/>
    </row>
    <row r="266" spans="1:9" x14ac:dyDescent="0.2">
      <c r="A266" s="10">
        <v>16791</v>
      </c>
      <c r="B266" s="11">
        <v>42154</v>
      </c>
      <c r="C266" s="12">
        <v>303.64</v>
      </c>
      <c r="D266" s="12">
        <v>23.14</v>
      </c>
      <c r="E266" s="15" t="s">
        <v>11</v>
      </c>
      <c r="H266" s="10"/>
      <c r="I266" s="10"/>
    </row>
    <row r="267" spans="1:9" x14ac:dyDescent="0.2">
      <c r="A267" s="10">
        <v>16792</v>
      </c>
      <c r="B267" s="11">
        <v>42154</v>
      </c>
      <c r="C267" s="12">
        <v>8.61</v>
      </c>
      <c r="D267" s="12">
        <v>0.66</v>
      </c>
      <c r="E267" s="17"/>
      <c r="H267" s="12"/>
      <c r="I267" s="10"/>
    </row>
    <row r="268" spans="1:9" x14ac:dyDescent="0.2">
      <c r="A268" s="10">
        <v>16793</v>
      </c>
      <c r="B268" s="11">
        <v>42154</v>
      </c>
      <c r="C268" s="12">
        <v>33</v>
      </c>
      <c r="D268" s="12">
        <v>2.52</v>
      </c>
      <c r="E268" s="15"/>
      <c r="F268" s="21"/>
      <c r="G268" s="22"/>
      <c r="H268" s="10"/>
      <c r="I268" s="10"/>
    </row>
    <row r="269" spans="1:9" x14ac:dyDescent="0.2">
      <c r="A269" s="10">
        <v>16794</v>
      </c>
      <c r="B269" s="11">
        <v>42154</v>
      </c>
      <c r="C269" s="12">
        <v>16.18</v>
      </c>
      <c r="D269" s="12">
        <v>1.23</v>
      </c>
      <c r="E269" s="15" t="s">
        <v>11</v>
      </c>
      <c r="H269" s="10"/>
      <c r="I269" s="10"/>
    </row>
    <row r="270" spans="1:9" x14ac:dyDescent="0.2">
      <c r="A270" s="10">
        <v>16795</v>
      </c>
      <c r="B270" s="11">
        <v>42154</v>
      </c>
      <c r="C270" s="12">
        <v>225</v>
      </c>
      <c r="D270" s="12">
        <v>17.149999999999999</v>
      </c>
      <c r="E270" s="15" t="s">
        <v>7</v>
      </c>
      <c r="H270" s="10"/>
      <c r="I270" s="10"/>
    </row>
    <row r="271" spans="1:9" x14ac:dyDescent="0.2">
      <c r="A271" s="10">
        <v>16796</v>
      </c>
      <c r="B271" s="11">
        <v>42154</v>
      </c>
      <c r="C271" s="12">
        <v>210.55</v>
      </c>
      <c r="D271" s="12">
        <v>16.05</v>
      </c>
      <c r="E271" s="15"/>
      <c r="H271" s="10"/>
      <c r="I271" s="10"/>
    </row>
    <row r="272" spans="1:9" x14ac:dyDescent="0.2">
      <c r="A272" s="10">
        <v>16797</v>
      </c>
      <c r="B272" s="11">
        <v>42154</v>
      </c>
      <c r="C272" s="12">
        <v>70</v>
      </c>
      <c r="D272" s="12"/>
      <c r="E272" s="15" t="s">
        <v>377</v>
      </c>
      <c r="H272" s="10"/>
      <c r="I272" s="10"/>
    </row>
    <row r="273" spans="1:13" x14ac:dyDescent="0.2">
      <c r="A273" s="10">
        <v>16798</v>
      </c>
      <c r="B273" s="11">
        <v>42154</v>
      </c>
      <c r="C273" s="12">
        <v>32.369999999999997</v>
      </c>
      <c r="D273" s="12">
        <v>2.4700000000000002</v>
      </c>
      <c r="E273" s="15" t="s">
        <v>11</v>
      </c>
      <c r="F273" s="33">
        <f>+C262+C264+C265+C266+C269+C270+C273+170.95</f>
        <v>1251.51</v>
      </c>
      <c r="G273" s="34">
        <v>1232.3800000000001</v>
      </c>
      <c r="H273" s="10"/>
      <c r="I273" s="10"/>
    </row>
    <row r="274" spans="1:13" s="8" customFormat="1" x14ac:dyDescent="0.2">
      <c r="A274" s="1"/>
      <c r="B274" s="6"/>
      <c r="C274" s="7"/>
      <c r="D274" s="6"/>
      <c r="E274" s="132"/>
      <c r="H274" s="9"/>
      <c r="M274" s="133"/>
    </row>
    <row r="275" spans="1:13" x14ac:dyDescent="0.2">
      <c r="E275" s="26"/>
      <c r="H275" s="10"/>
      <c r="I275" s="5"/>
      <c r="J275" s="27"/>
      <c r="K275" s="27"/>
      <c r="M275" s="126"/>
    </row>
    <row r="276" spans="1:13" x14ac:dyDescent="0.2">
      <c r="E276" s="26"/>
      <c r="H276" s="12"/>
      <c r="I276" s="5"/>
      <c r="J276" s="27"/>
      <c r="K276" s="27"/>
      <c r="M276" s="126"/>
    </row>
    <row r="277" spans="1:13" x14ac:dyDescent="0.2">
      <c r="E277" s="26"/>
      <c r="H277" s="12"/>
      <c r="I277" s="5"/>
      <c r="J277" s="27"/>
      <c r="K277" s="27"/>
      <c r="M277" s="126"/>
    </row>
    <row r="278" spans="1:13" x14ac:dyDescent="0.2">
      <c r="E278" s="26"/>
      <c r="H278" s="10"/>
      <c r="I278" s="5"/>
      <c r="J278" s="27"/>
      <c r="K278" s="27"/>
      <c r="M278" s="126"/>
    </row>
    <row r="279" spans="1:13" x14ac:dyDescent="0.2">
      <c r="E279" s="26"/>
      <c r="H279" s="10"/>
      <c r="I279" s="5"/>
      <c r="J279" s="27"/>
      <c r="K279" s="27"/>
      <c r="M279" s="126"/>
    </row>
    <row r="280" spans="1:13" x14ac:dyDescent="0.2">
      <c r="E280" s="26"/>
      <c r="H280" s="12"/>
      <c r="I280" s="5"/>
      <c r="J280" s="27"/>
      <c r="K280" s="27"/>
      <c r="M280" s="126"/>
    </row>
    <row r="281" spans="1:13" x14ac:dyDescent="0.2">
      <c r="E281" s="26"/>
      <c r="H281" s="12"/>
      <c r="I281" s="5"/>
      <c r="J281" s="27"/>
      <c r="K281" s="27"/>
      <c r="M281" s="126"/>
    </row>
    <row r="282" spans="1:13" x14ac:dyDescent="0.2">
      <c r="E282" s="26"/>
      <c r="H282" s="10"/>
      <c r="I282" s="5"/>
      <c r="J282" s="27"/>
      <c r="K282" s="27"/>
      <c r="M282" s="126"/>
    </row>
    <row r="283" spans="1:13" x14ac:dyDescent="0.2">
      <c r="E283" s="26"/>
      <c r="H283" s="12"/>
      <c r="I283" s="5"/>
      <c r="J283" s="27"/>
      <c r="K283" s="27"/>
      <c r="M283" s="126"/>
    </row>
    <row r="284" spans="1:13" x14ac:dyDescent="0.2">
      <c r="E284" s="26"/>
      <c r="H284" s="12"/>
      <c r="I284" s="5"/>
      <c r="J284" s="27"/>
      <c r="K284" s="27"/>
      <c r="M284" s="126"/>
    </row>
    <row r="285" spans="1:13" x14ac:dyDescent="0.2">
      <c r="E285" s="26"/>
      <c r="H285" s="12"/>
      <c r="I285" s="5"/>
      <c r="J285" s="27"/>
      <c r="K285" s="27"/>
      <c r="M285" s="126"/>
    </row>
    <row r="286" spans="1:13" x14ac:dyDescent="0.2">
      <c r="E286" s="26"/>
      <c r="H286" s="12"/>
      <c r="I286" s="5"/>
      <c r="J286" s="27"/>
      <c r="K286" s="27"/>
      <c r="M286" s="126"/>
    </row>
    <row r="287" spans="1:13" x14ac:dyDescent="0.2">
      <c r="E287" s="26"/>
      <c r="H287" s="12"/>
      <c r="I287" s="5"/>
      <c r="J287" s="27"/>
      <c r="K287" s="27"/>
      <c r="M287" s="126"/>
    </row>
    <row r="288" spans="1:13" x14ac:dyDescent="0.2">
      <c r="E288" s="26"/>
      <c r="H288" s="12"/>
      <c r="I288" s="5"/>
      <c r="J288" s="27"/>
      <c r="K288" s="27"/>
      <c r="M288" s="126"/>
    </row>
    <row r="289" spans="5:13" x14ac:dyDescent="0.2">
      <c r="E289" s="26"/>
      <c r="M289" s="126"/>
    </row>
    <row r="290" spans="5:13" x14ac:dyDescent="0.2">
      <c r="E290" s="26"/>
      <c r="M290" s="126"/>
    </row>
    <row r="291" spans="5:13" x14ac:dyDescent="0.2">
      <c r="E291" s="26"/>
      <c r="H291" s="122"/>
    </row>
    <row r="292" spans="5:13" x14ac:dyDescent="0.2">
      <c r="E292" s="26"/>
      <c r="H292" s="122"/>
      <c r="I292" s="98"/>
      <c r="J292" s="98"/>
      <c r="K292" s="98"/>
      <c r="L292" s="98"/>
    </row>
    <row r="293" spans="5:13" x14ac:dyDescent="0.2">
      <c r="E293" s="26"/>
      <c r="I293" s="129"/>
      <c r="J293" s="129"/>
      <c r="K293" s="129"/>
      <c r="L293" s="129"/>
    </row>
    <row r="294" spans="5:13" x14ac:dyDescent="0.2">
      <c r="E294" s="26"/>
    </row>
    <row r="295" spans="5:13" x14ac:dyDescent="0.2">
      <c r="E295" s="26"/>
    </row>
    <row r="296" spans="5:13" x14ac:dyDescent="0.2">
      <c r="E296" s="26"/>
    </row>
    <row r="297" spans="5:13" x14ac:dyDescent="0.2">
      <c r="E297" s="26"/>
    </row>
    <row r="298" spans="5:13" x14ac:dyDescent="0.2">
      <c r="E298" s="26"/>
    </row>
    <row r="299" spans="5:13" x14ac:dyDescent="0.2">
      <c r="E299" s="26"/>
    </row>
    <row r="300" spans="5:13" x14ac:dyDescent="0.2">
      <c r="E300" s="26"/>
    </row>
    <row r="301" spans="5:13" x14ac:dyDescent="0.2">
      <c r="E301" s="26"/>
    </row>
    <row r="302" spans="5:13" x14ac:dyDescent="0.2">
      <c r="E302" s="26"/>
    </row>
    <row r="303" spans="5:13" x14ac:dyDescent="0.2">
      <c r="E303" s="26"/>
    </row>
    <row r="304" spans="5:13" x14ac:dyDescent="0.2">
      <c r="E304" s="26"/>
    </row>
    <row r="305" spans="2:8" x14ac:dyDescent="0.2">
      <c r="E305" s="26"/>
    </row>
    <row r="306" spans="2:8" x14ac:dyDescent="0.2">
      <c r="E306" s="26"/>
    </row>
    <row r="307" spans="2:8" x14ac:dyDescent="0.2">
      <c r="E307" s="26"/>
    </row>
    <row r="308" spans="2:8" x14ac:dyDescent="0.2">
      <c r="E308" s="26"/>
    </row>
    <row r="309" spans="2:8" x14ac:dyDescent="0.2">
      <c r="E309" s="26"/>
    </row>
    <row r="310" spans="2:8" x14ac:dyDescent="0.2">
      <c r="E310" s="26"/>
    </row>
    <row r="311" spans="2:8" x14ac:dyDescent="0.2">
      <c r="E311" s="26"/>
    </row>
    <row r="312" spans="2:8" x14ac:dyDescent="0.2">
      <c r="E312" s="26"/>
    </row>
    <row r="313" spans="2:8" x14ac:dyDescent="0.2">
      <c r="E313" s="26"/>
    </row>
    <row r="314" spans="2:8" s="29" customFormat="1" x14ac:dyDescent="0.2">
      <c r="B314" s="30"/>
      <c r="C314" s="31"/>
      <c r="E314" s="32"/>
      <c r="H314" s="31"/>
    </row>
    <row r="315" spans="2:8" s="29" customFormat="1" x14ac:dyDescent="0.2">
      <c r="B315" s="30"/>
      <c r="C315" s="31"/>
      <c r="E315" s="32"/>
      <c r="H315" s="31"/>
    </row>
    <row r="316" spans="2:8" x14ac:dyDescent="0.2">
      <c r="E316" s="26"/>
    </row>
    <row r="317" spans="2:8" x14ac:dyDescent="0.2">
      <c r="E317" s="26"/>
    </row>
    <row r="318" spans="2:8" x14ac:dyDescent="0.2">
      <c r="E318" s="26"/>
    </row>
    <row r="319" spans="2:8" x14ac:dyDescent="0.2">
      <c r="E319" s="26"/>
    </row>
    <row r="320" spans="2:8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  <row r="3289" spans="5:5" x14ac:dyDescent="0.2">
      <c r="E3289" s="26"/>
    </row>
    <row r="3290" spans="5:5" x14ac:dyDescent="0.2">
      <c r="E3290" s="2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B3329"/>
  <sheetViews>
    <sheetView topLeftCell="A277" workbookViewId="0">
      <selection activeCell="A322" sqref="A322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SUM(C3:C511)</f>
        <v>38137.361000000012</v>
      </c>
      <c r="D1" s="3">
        <f>SUM(D207:D511)</f>
        <v>994.73850000000027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16209</v>
      </c>
      <c r="B3" s="11">
        <v>42095</v>
      </c>
      <c r="C3" s="12">
        <v>68</v>
      </c>
      <c r="D3" s="12"/>
      <c r="E3" s="15" t="s">
        <v>17</v>
      </c>
      <c r="F3" s="10"/>
      <c r="G3" s="10"/>
      <c r="H3" s="10"/>
      <c r="I3" s="10"/>
    </row>
    <row r="4" spans="1:10" x14ac:dyDescent="0.2">
      <c r="A4" s="10">
        <v>16210</v>
      </c>
      <c r="B4" s="11">
        <v>42095</v>
      </c>
      <c r="C4" s="12">
        <v>139.63999999999999</v>
      </c>
      <c r="D4" s="12">
        <v>10.64</v>
      </c>
      <c r="E4" s="13"/>
      <c r="F4" s="12"/>
      <c r="G4" s="12"/>
      <c r="H4" s="12"/>
      <c r="I4" s="10"/>
    </row>
    <row r="5" spans="1:10" x14ac:dyDescent="0.2">
      <c r="A5" s="10">
        <v>16211</v>
      </c>
      <c r="B5" s="11">
        <v>42095</v>
      </c>
      <c r="C5" s="12">
        <v>78</v>
      </c>
      <c r="D5" s="12"/>
      <c r="E5" s="15" t="s">
        <v>17</v>
      </c>
      <c r="H5" s="10"/>
      <c r="I5" s="10"/>
    </row>
    <row r="6" spans="1:10" x14ac:dyDescent="0.2">
      <c r="A6" s="10">
        <v>16212</v>
      </c>
      <c r="B6" s="11">
        <v>42095</v>
      </c>
      <c r="C6" s="12">
        <v>95.26</v>
      </c>
      <c r="D6" s="12">
        <v>7.26</v>
      </c>
      <c r="E6" s="17"/>
      <c r="F6" s="18"/>
      <c r="G6" s="19"/>
      <c r="H6" s="12"/>
      <c r="I6" s="10"/>
    </row>
    <row r="7" spans="1:10" x14ac:dyDescent="0.2">
      <c r="A7" s="10">
        <v>16213</v>
      </c>
      <c r="B7" s="11">
        <v>42095</v>
      </c>
      <c r="C7" s="12">
        <v>27.06</v>
      </c>
      <c r="D7" s="12">
        <v>2.06</v>
      </c>
      <c r="E7" s="15" t="s">
        <v>11</v>
      </c>
      <c r="H7" s="10"/>
      <c r="I7" s="10"/>
    </row>
    <row r="8" spans="1:10" x14ac:dyDescent="0.2">
      <c r="A8" s="10">
        <v>16214</v>
      </c>
      <c r="B8" s="11">
        <v>42095</v>
      </c>
      <c r="C8" s="12">
        <v>331.25</v>
      </c>
      <c r="D8" s="12">
        <v>25.25</v>
      </c>
      <c r="E8" s="15" t="s">
        <v>11</v>
      </c>
      <c r="H8" s="10"/>
      <c r="I8" s="10"/>
    </row>
    <row r="9" spans="1:10" x14ac:dyDescent="0.2">
      <c r="A9" s="10">
        <v>16215</v>
      </c>
      <c r="B9" s="11">
        <v>42095</v>
      </c>
      <c r="C9" s="12">
        <v>48.660000000000004</v>
      </c>
      <c r="D9" s="12">
        <v>3.71</v>
      </c>
      <c r="E9" s="15" t="s">
        <v>11</v>
      </c>
      <c r="F9" s="21"/>
      <c r="G9" s="22"/>
      <c r="H9" s="10"/>
      <c r="I9" s="10"/>
    </row>
    <row r="10" spans="1:10" x14ac:dyDescent="0.2">
      <c r="A10" s="10">
        <v>16216</v>
      </c>
      <c r="B10" s="11">
        <v>42095</v>
      </c>
      <c r="C10" s="12">
        <v>529.88</v>
      </c>
      <c r="D10" s="12">
        <v>40.380000000000003</v>
      </c>
      <c r="E10" s="13"/>
      <c r="F10" s="18"/>
      <c r="G10" s="19"/>
      <c r="H10" s="12"/>
      <c r="I10" s="10"/>
    </row>
    <row r="11" spans="1:10" x14ac:dyDescent="0.2">
      <c r="A11" s="10">
        <v>16217</v>
      </c>
      <c r="B11" s="11">
        <v>42095</v>
      </c>
      <c r="C11" s="12">
        <v>75</v>
      </c>
      <c r="D11" s="12"/>
      <c r="E11" s="13" t="s">
        <v>309</v>
      </c>
      <c r="H11" s="12"/>
      <c r="I11" s="10"/>
    </row>
    <row r="12" spans="1:10" x14ac:dyDescent="0.2">
      <c r="A12" s="10">
        <v>16218</v>
      </c>
      <c r="B12" s="11">
        <v>42095</v>
      </c>
      <c r="C12" s="12">
        <v>13.6</v>
      </c>
      <c r="D12" s="12"/>
      <c r="E12" s="15" t="s">
        <v>11</v>
      </c>
      <c r="F12" s="21"/>
      <c r="G12" s="22"/>
      <c r="H12" s="10"/>
      <c r="I12" s="10"/>
    </row>
    <row r="13" spans="1:10" x14ac:dyDescent="0.2">
      <c r="A13" s="10">
        <v>16219</v>
      </c>
      <c r="B13" s="11">
        <v>42095</v>
      </c>
      <c r="C13" s="12">
        <v>12.99</v>
      </c>
      <c r="D13" s="12">
        <v>0.99</v>
      </c>
      <c r="E13" s="17"/>
      <c r="F13" s="18"/>
      <c r="G13" s="19"/>
      <c r="H13" s="12"/>
      <c r="I13" s="10"/>
    </row>
    <row r="14" spans="1:10" x14ac:dyDescent="0.2">
      <c r="A14" s="10">
        <v>16220</v>
      </c>
      <c r="B14" s="11">
        <v>42095</v>
      </c>
      <c r="C14" s="12">
        <v>23.82</v>
      </c>
      <c r="D14" s="12">
        <v>1.82</v>
      </c>
      <c r="E14" s="17"/>
      <c r="H14" s="12"/>
      <c r="I14" s="10"/>
    </row>
    <row r="15" spans="1:10" x14ac:dyDescent="0.2">
      <c r="A15" s="10">
        <v>16221</v>
      </c>
      <c r="B15" s="11">
        <v>42095</v>
      </c>
      <c r="C15" s="12">
        <v>117.99</v>
      </c>
      <c r="D15" s="12">
        <v>8.99</v>
      </c>
      <c r="E15" s="15" t="s">
        <v>11</v>
      </c>
      <c r="H15" s="10"/>
      <c r="I15" s="10"/>
    </row>
    <row r="16" spans="1:10" x14ac:dyDescent="0.2">
      <c r="A16" s="10">
        <v>16222</v>
      </c>
      <c r="B16" s="11">
        <v>42095</v>
      </c>
      <c r="C16" s="12">
        <v>280.37</v>
      </c>
      <c r="D16" s="12">
        <v>21.37</v>
      </c>
      <c r="E16" s="15" t="s">
        <v>11</v>
      </c>
      <c r="F16" s="21"/>
      <c r="G16" s="22"/>
      <c r="H16" s="10"/>
      <c r="I16" s="10"/>
    </row>
    <row r="17" spans="1:9" x14ac:dyDescent="0.2">
      <c r="A17" s="10">
        <v>16223</v>
      </c>
      <c r="B17" s="11">
        <v>42095</v>
      </c>
      <c r="C17" s="12">
        <v>13.479999999999999</v>
      </c>
      <c r="D17" s="12">
        <v>1.03</v>
      </c>
      <c r="E17" s="17"/>
      <c r="H17" s="12"/>
      <c r="I17" s="10"/>
    </row>
    <row r="18" spans="1:9" x14ac:dyDescent="0.2">
      <c r="A18" s="10">
        <v>16224</v>
      </c>
      <c r="B18" s="11">
        <v>42095</v>
      </c>
      <c r="C18" s="12">
        <v>17.32</v>
      </c>
      <c r="D18" s="12">
        <v>1.32</v>
      </c>
      <c r="E18" s="15" t="s">
        <v>7</v>
      </c>
      <c r="H18" s="10"/>
      <c r="I18" s="10"/>
    </row>
    <row r="19" spans="1:9" x14ac:dyDescent="0.2">
      <c r="A19" s="10">
        <v>16225</v>
      </c>
      <c r="B19" s="11">
        <v>42095</v>
      </c>
      <c r="C19" s="12">
        <v>5</v>
      </c>
      <c r="D19" s="12">
        <v>0.41</v>
      </c>
      <c r="E19" s="15" t="s">
        <v>11</v>
      </c>
      <c r="F19" s="33">
        <f>+C5+C9+C12+C7+C15+20+C8+C16+C18+C19</f>
        <v>939.25</v>
      </c>
      <c r="G19" s="34">
        <v>927.4</v>
      </c>
      <c r="H19" s="10"/>
      <c r="I19" s="10"/>
    </row>
    <row r="20" spans="1:9" x14ac:dyDescent="0.2">
      <c r="A20" s="10">
        <v>16226</v>
      </c>
      <c r="B20" s="11">
        <v>42096</v>
      </c>
      <c r="C20" s="12">
        <v>12.99</v>
      </c>
      <c r="D20" s="12">
        <v>0.99</v>
      </c>
      <c r="E20" s="17"/>
      <c r="F20" s="18"/>
      <c r="G20" s="19"/>
      <c r="H20" s="12"/>
      <c r="I20" s="10"/>
    </row>
    <row r="21" spans="1:9" x14ac:dyDescent="0.2">
      <c r="A21" s="10">
        <v>16227</v>
      </c>
      <c r="B21" s="11">
        <v>42096</v>
      </c>
      <c r="C21" s="12">
        <v>253.31</v>
      </c>
      <c r="D21" s="12">
        <v>19.309999999999999</v>
      </c>
      <c r="E21" s="15" t="s">
        <v>11</v>
      </c>
      <c r="H21" s="10"/>
      <c r="I21" s="10"/>
    </row>
    <row r="22" spans="1:9" x14ac:dyDescent="0.2">
      <c r="A22" s="10">
        <v>16228</v>
      </c>
      <c r="B22" s="11">
        <v>42096</v>
      </c>
      <c r="C22" s="12">
        <v>140.72999999999999</v>
      </c>
      <c r="D22" s="12">
        <v>10.73</v>
      </c>
      <c r="E22" s="17"/>
      <c r="H22" s="12"/>
      <c r="I22" s="10"/>
    </row>
    <row r="23" spans="1:9" x14ac:dyDescent="0.2">
      <c r="A23" s="10">
        <v>16229</v>
      </c>
      <c r="B23" s="11">
        <v>42096</v>
      </c>
      <c r="C23" s="12">
        <v>182</v>
      </c>
      <c r="D23" s="12"/>
      <c r="E23" s="15" t="s">
        <v>25</v>
      </c>
      <c r="F23" s="21"/>
      <c r="G23" s="22"/>
      <c r="H23" s="10"/>
      <c r="I23" s="10"/>
    </row>
    <row r="24" spans="1:9" x14ac:dyDescent="0.2">
      <c r="A24" s="10">
        <v>16230</v>
      </c>
      <c r="B24" s="11">
        <v>42096</v>
      </c>
      <c r="C24" s="12">
        <v>54</v>
      </c>
      <c r="D24" s="12"/>
      <c r="E24" s="13" t="s">
        <v>281</v>
      </c>
      <c r="H24" s="12"/>
      <c r="I24" s="10"/>
    </row>
    <row r="25" spans="1:9" x14ac:dyDescent="0.2">
      <c r="A25" s="10">
        <v>16231</v>
      </c>
      <c r="B25" s="11">
        <v>42096</v>
      </c>
      <c r="C25" s="12">
        <v>43.3</v>
      </c>
      <c r="D25" s="12">
        <v>3.3</v>
      </c>
      <c r="E25" s="17"/>
      <c r="H25" s="12"/>
      <c r="I25" s="10"/>
    </row>
    <row r="26" spans="1:9" x14ac:dyDescent="0.2">
      <c r="A26" s="10">
        <v>16232</v>
      </c>
      <c r="B26" s="11">
        <v>42096</v>
      </c>
      <c r="C26" s="12">
        <v>38.700000000000003</v>
      </c>
      <c r="D26" s="12">
        <v>2.95</v>
      </c>
      <c r="E26" s="15" t="s">
        <v>11</v>
      </c>
      <c r="F26" s="21"/>
      <c r="G26" s="22"/>
      <c r="H26" s="10"/>
      <c r="I26" s="10"/>
    </row>
    <row r="27" spans="1:9" x14ac:dyDescent="0.2">
      <c r="A27" s="10">
        <v>16233</v>
      </c>
      <c r="B27" s="11">
        <v>42096</v>
      </c>
      <c r="C27" s="12">
        <v>436.25</v>
      </c>
      <c r="D27" s="12">
        <v>33.25</v>
      </c>
      <c r="E27" s="15" t="s">
        <v>11</v>
      </c>
      <c r="H27" s="10"/>
      <c r="I27" s="10"/>
    </row>
    <row r="28" spans="1:9" x14ac:dyDescent="0.2">
      <c r="A28" s="10">
        <v>16234</v>
      </c>
      <c r="B28" s="11">
        <v>42096</v>
      </c>
      <c r="C28" s="12">
        <v>141.15999999999997</v>
      </c>
      <c r="D28" s="12">
        <v>10.76</v>
      </c>
      <c r="E28" s="17"/>
      <c r="F28" s="33">
        <f>+C21+C26+200</f>
        <v>492.01</v>
      </c>
      <c r="G28" s="34">
        <v>482.36</v>
      </c>
      <c r="H28" s="12"/>
      <c r="I28" s="10"/>
    </row>
    <row r="29" spans="1:9" x14ac:dyDescent="0.2">
      <c r="A29" s="10">
        <v>16235</v>
      </c>
      <c r="B29" s="11">
        <v>42097</v>
      </c>
      <c r="C29" s="12">
        <v>171.04</v>
      </c>
      <c r="D29" s="12">
        <v>13.04</v>
      </c>
      <c r="E29" s="15" t="s">
        <v>11</v>
      </c>
      <c r="H29" s="10"/>
      <c r="I29" s="10"/>
    </row>
    <row r="30" spans="1:9" x14ac:dyDescent="0.2">
      <c r="A30" s="10">
        <v>16236</v>
      </c>
      <c r="B30" s="11">
        <v>42097</v>
      </c>
      <c r="C30" s="12">
        <v>291.19</v>
      </c>
      <c r="D30" s="12">
        <v>22.19</v>
      </c>
      <c r="E30" s="17"/>
      <c r="F30" s="18"/>
      <c r="G30" s="19"/>
      <c r="H30" s="12"/>
      <c r="I30" s="10"/>
    </row>
    <row r="31" spans="1:9" x14ac:dyDescent="0.2">
      <c r="A31" s="10">
        <v>16237</v>
      </c>
      <c r="B31" s="11">
        <v>42097</v>
      </c>
      <c r="C31" s="12">
        <v>10</v>
      </c>
      <c r="D31" s="12">
        <v>0.76</v>
      </c>
      <c r="E31" s="17"/>
      <c r="H31" s="12"/>
      <c r="I31" s="10"/>
    </row>
    <row r="32" spans="1:9" x14ac:dyDescent="0.2">
      <c r="A32" s="10">
        <v>16238</v>
      </c>
      <c r="B32" s="11">
        <v>42097</v>
      </c>
      <c r="C32" s="12">
        <v>18.349999999999998</v>
      </c>
      <c r="D32" s="12">
        <v>1.4</v>
      </c>
      <c r="E32" s="15" t="s">
        <v>7</v>
      </c>
      <c r="H32" s="10"/>
      <c r="I32" s="10"/>
    </row>
    <row r="33" spans="1:9" x14ac:dyDescent="0.2">
      <c r="A33" s="10">
        <v>16239</v>
      </c>
      <c r="B33" s="11">
        <v>42097</v>
      </c>
      <c r="C33" s="12">
        <v>20</v>
      </c>
      <c r="D33" s="12">
        <v>1.52</v>
      </c>
      <c r="E33" s="17"/>
      <c r="F33" s="18"/>
      <c r="G33" s="19"/>
      <c r="H33" s="12"/>
      <c r="I33" s="10"/>
    </row>
    <row r="34" spans="1:9" x14ac:dyDescent="0.2">
      <c r="A34" s="10">
        <v>16240</v>
      </c>
      <c r="B34" s="11">
        <v>42097</v>
      </c>
      <c r="C34" s="12">
        <v>9.1999999999999993</v>
      </c>
      <c r="D34" s="12">
        <v>0.7</v>
      </c>
      <c r="E34" s="17"/>
      <c r="F34" s="18"/>
      <c r="G34" s="19"/>
      <c r="H34" s="12"/>
      <c r="I34" s="10"/>
    </row>
    <row r="35" spans="1:9" x14ac:dyDescent="0.2">
      <c r="A35" s="10">
        <v>16241</v>
      </c>
      <c r="B35" s="11">
        <v>42097</v>
      </c>
      <c r="C35" s="12">
        <v>60.62</v>
      </c>
      <c r="D35" s="12">
        <v>4.62</v>
      </c>
      <c r="E35" s="15" t="s">
        <v>7</v>
      </c>
      <c r="F35" s="21"/>
      <c r="G35" s="22"/>
      <c r="H35" s="10"/>
      <c r="I35" s="10"/>
    </row>
    <row r="36" spans="1:9" x14ac:dyDescent="0.2">
      <c r="A36" s="10">
        <v>16242</v>
      </c>
      <c r="B36" s="11">
        <v>42097</v>
      </c>
      <c r="C36" s="12">
        <v>265.75</v>
      </c>
      <c r="D36" s="12">
        <v>20.25</v>
      </c>
      <c r="E36" s="15" t="s">
        <v>11</v>
      </c>
      <c r="H36" s="10"/>
      <c r="I36" s="10"/>
    </row>
    <row r="37" spans="1:9" x14ac:dyDescent="0.2">
      <c r="A37" s="10">
        <v>16243</v>
      </c>
      <c r="B37" s="11">
        <v>42097</v>
      </c>
      <c r="C37" s="12">
        <v>221.91</v>
      </c>
      <c r="D37" s="12">
        <v>16.91</v>
      </c>
      <c r="E37" s="15" t="s">
        <v>7</v>
      </c>
      <c r="H37" s="10"/>
      <c r="I37" s="10"/>
    </row>
    <row r="38" spans="1:9" x14ac:dyDescent="0.2">
      <c r="A38" s="10">
        <v>16244</v>
      </c>
      <c r="B38" s="11">
        <v>42097</v>
      </c>
      <c r="C38" s="12">
        <v>20.57</v>
      </c>
      <c r="D38" s="12">
        <v>1.57</v>
      </c>
      <c r="E38" s="15" t="s">
        <v>7</v>
      </c>
      <c r="H38" s="10"/>
      <c r="I38" s="10"/>
    </row>
    <row r="39" spans="1:9" x14ac:dyDescent="0.2">
      <c r="A39" s="10">
        <v>16245</v>
      </c>
      <c r="B39" s="11">
        <v>42097</v>
      </c>
      <c r="C39" s="12">
        <v>51.96</v>
      </c>
      <c r="D39" s="12">
        <v>3.96</v>
      </c>
      <c r="E39" s="13"/>
      <c r="F39" s="18"/>
      <c r="G39" s="19"/>
      <c r="H39" s="12"/>
      <c r="I39" s="10"/>
    </row>
    <row r="40" spans="1:9" x14ac:dyDescent="0.2">
      <c r="A40" s="10">
        <v>16246</v>
      </c>
      <c r="B40" s="11">
        <v>42097</v>
      </c>
      <c r="C40" s="12">
        <v>44.81</v>
      </c>
      <c r="D40" s="12"/>
      <c r="E40" s="13" t="s">
        <v>310</v>
      </c>
      <c r="H40" s="12"/>
      <c r="I40" s="10"/>
    </row>
    <row r="41" spans="1:9" x14ac:dyDescent="0.2">
      <c r="A41" s="10">
        <v>16247</v>
      </c>
      <c r="B41" s="11">
        <v>42097</v>
      </c>
      <c r="C41" s="12">
        <v>51.96</v>
      </c>
      <c r="D41" s="12">
        <v>3.96</v>
      </c>
      <c r="E41" s="15" t="s">
        <v>11</v>
      </c>
      <c r="H41" s="10"/>
      <c r="I41" s="10"/>
    </row>
    <row r="42" spans="1:9" x14ac:dyDescent="0.2">
      <c r="A42" s="10">
        <v>16248</v>
      </c>
      <c r="B42" s="11">
        <v>42097</v>
      </c>
      <c r="C42" s="12">
        <v>31.39</v>
      </c>
      <c r="D42" s="12">
        <v>2.39</v>
      </c>
      <c r="E42" s="17"/>
      <c r="F42" s="18"/>
      <c r="G42" s="19"/>
      <c r="H42" s="12"/>
      <c r="I42" s="10"/>
    </row>
    <row r="43" spans="1:9" x14ac:dyDescent="0.2">
      <c r="A43" s="10">
        <v>16249</v>
      </c>
      <c r="B43" s="11">
        <v>42097</v>
      </c>
      <c r="C43" s="12">
        <v>285.77999999999997</v>
      </c>
      <c r="D43" s="12">
        <v>21.78</v>
      </c>
      <c r="E43" s="17"/>
      <c r="F43" s="18"/>
      <c r="G43" s="19"/>
      <c r="H43" s="12"/>
      <c r="I43" s="10"/>
    </row>
    <row r="44" spans="1:9" x14ac:dyDescent="0.2">
      <c r="A44" s="10">
        <v>16250</v>
      </c>
      <c r="B44" s="11">
        <v>42097</v>
      </c>
      <c r="C44" s="12">
        <v>156.96</v>
      </c>
      <c r="D44" s="12">
        <v>11.96</v>
      </c>
      <c r="E44" s="15" t="s">
        <v>11</v>
      </c>
      <c r="F44" s="21"/>
      <c r="G44" s="22"/>
      <c r="H44" s="10"/>
      <c r="I44" s="10"/>
    </row>
    <row r="45" spans="1:9" x14ac:dyDescent="0.2">
      <c r="A45" s="10">
        <v>16251</v>
      </c>
      <c r="B45" s="11">
        <v>42097</v>
      </c>
      <c r="C45" s="12">
        <v>8</v>
      </c>
      <c r="D45" s="12">
        <v>0.61</v>
      </c>
      <c r="E45" s="17"/>
      <c r="F45" s="33">
        <f>+C29+C32+C35+C36+C37+C38+C41+C44+C3</f>
        <v>1035.1600000000001</v>
      </c>
      <c r="G45" s="34">
        <v>1024.72</v>
      </c>
      <c r="H45" s="12"/>
      <c r="I45" s="10"/>
    </row>
    <row r="46" spans="1:9" x14ac:dyDescent="0.2">
      <c r="A46" s="10">
        <v>16252</v>
      </c>
      <c r="B46" s="11">
        <v>42098</v>
      </c>
      <c r="C46" s="12">
        <v>11</v>
      </c>
      <c r="D46" s="12">
        <v>0.84</v>
      </c>
      <c r="E46" s="17"/>
      <c r="F46" s="18"/>
      <c r="G46" s="19"/>
      <c r="H46" s="12"/>
      <c r="I46" s="10"/>
    </row>
    <row r="47" spans="1:9" x14ac:dyDescent="0.2">
      <c r="A47" s="10">
        <v>16253</v>
      </c>
      <c r="B47" s="11">
        <v>42098</v>
      </c>
      <c r="C47" s="12">
        <v>8.5</v>
      </c>
      <c r="D47" s="12"/>
      <c r="E47" s="13" t="s">
        <v>24</v>
      </c>
      <c r="H47" s="12"/>
      <c r="I47" s="10"/>
    </row>
    <row r="48" spans="1:9" x14ac:dyDescent="0.2">
      <c r="A48" s="10">
        <v>16254</v>
      </c>
      <c r="B48" s="11">
        <v>42098</v>
      </c>
      <c r="C48" s="12">
        <v>48.86</v>
      </c>
      <c r="D48" s="12">
        <v>3.72</v>
      </c>
      <c r="E48" s="17"/>
      <c r="F48" s="18"/>
      <c r="G48" s="19"/>
      <c r="H48" s="12"/>
      <c r="I48" s="10"/>
    </row>
    <row r="49" spans="1:9" x14ac:dyDescent="0.2">
      <c r="A49" s="10">
        <v>16255</v>
      </c>
      <c r="B49" s="11">
        <v>42098</v>
      </c>
      <c r="C49" s="12">
        <v>179</v>
      </c>
      <c r="D49" s="12"/>
      <c r="E49" s="15" t="s">
        <v>311</v>
      </c>
      <c r="H49" s="10"/>
      <c r="I49" s="10"/>
    </row>
    <row r="50" spans="1:9" x14ac:dyDescent="0.2">
      <c r="A50" s="10">
        <v>16256</v>
      </c>
      <c r="B50" s="11">
        <v>42098</v>
      </c>
      <c r="C50" s="12">
        <v>403.77</v>
      </c>
      <c r="D50" s="12">
        <v>30.77</v>
      </c>
      <c r="E50" s="15" t="s">
        <v>26</v>
      </c>
      <c r="H50" s="10"/>
      <c r="I50" s="10"/>
    </row>
    <row r="51" spans="1:9" x14ac:dyDescent="0.2">
      <c r="A51" s="10">
        <v>16257</v>
      </c>
      <c r="B51" s="11">
        <v>42098</v>
      </c>
      <c r="C51" s="12">
        <v>-51.96</v>
      </c>
      <c r="D51" s="12">
        <v>-3.96</v>
      </c>
      <c r="E51" s="17"/>
      <c r="H51" s="12"/>
      <c r="I51" s="10"/>
    </row>
    <row r="52" spans="1:9" x14ac:dyDescent="0.2">
      <c r="A52" s="10">
        <v>16258</v>
      </c>
      <c r="B52" s="11">
        <v>42098</v>
      </c>
      <c r="C52" s="12">
        <v>497.95</v>
      </c>
      <c r="D52" s="12">
        <v>37.950000000000003</v>
      </c>
      <c r="E52" s="15" t="s">
        <v>11</v>
      </c>
      <c r="F52" s="21"/>
      <c r="G52" s="22"/>
      <c r="H52" s="10"/>
      <c r="I52" s="10"/>
    </row>
    <row r="53" spans="1:9" x14ac:dyDescent="0.2">
      <c r="A53" s="10">
        <v>16259</v>
      </c>
      <c r="B53" s="11">
        <v>42098</v>
      </c>
      <c r="C53" s="12">
        <v>68.41</v>
      </c>
      <c r="D53" s="12">
        <v>5.21</v>
      </c>
      <c r="E53" s="15" t="s">
        <v>11</v>
      </c>
      <c r="F53" s="21"/>
      <c r="G53" s="22"/>
      <c r="H53" s="10"/>
      <c r="I53" s="10"/>
    </row>
    <row r="54" spans="1:9" x14ac:dyDescent="0.2">
      <c r="A54" s="10">
        <v>16260</v>
      </c>
      <c r="B54" s="11">
        <v>42098</v>
      </c>
      <c r="C54" s="12">
        <v>18</v>
      </c>
      <c r="D54" s="12">
        <v>1.37</v>
      </c>
      <c r="E54" s="13"/>
      <c r="F54" s="18"/>
      <c r="G54" s="19"/>
      <c r="H54" s="12"/>
      <c r="I54" s="10"/>
    </row>
    <row r="55" spans="1:9" x14ac:dyDescent="0.2">
      <c r="A55" s="10">
        <v>16261</v>
      </c>
      <c r="B55" s="11">
        <v>42098</v>
      </c>
      <c r="C55" s="12">
        <v>160.47</v>
      </c>
      <c r="D55" s="12">
        <v>12.23</v>
      </c>
      <c r="E55" s="15" t="s">
        <v>11</v>
      </c>
      <c r="H55" s="10"/>
      <c r="I55" s="10"/>
    </row>
    <row r="56" spans="1:9" x14ac:dyDescent="0.2">
      <c r="A56" s="10">
        <v>16262</v>
      </c>
      <c r="B56" s="11">
        <v>42098</v>
      </c>
      <c r="C56" s="12">
        <v>182.94</v>
      </c>
      <c r="D56" s="12">
        <v>13.94</v>
      </c>
      <c r="E56" s="15" t="s">
        <v>11</v>
      </c>
      <c r="F56" s="21"/>
      <c r="G56" s="22"/>
      <c r="H56" s="10"/>
      <c r="I56" s="10"/>
    </row>
    <row r="57" spans="1:9" x14ac:dyDescent="0.2">
      <c r="A57" s="10">
        <v>16263</v>
      </c>
      <c r="B57" s="11">
        <v>42098</v>
      </c>
      <c r="C57" s="12">
        <v>40.049999999999997</v>
      </c>
      <c r="D57" s="12">
        <v>3.05</v>
      </c>
      <c r="E57" s="15" t="s">
        <v>11</v>
      </c>
      <c r="H57" s="10"/>
      <c r="I57" s="10"/>
    </row>
    <row r="58" spans="1:9" x14ac:dyDescent="0.2">
      <c r="A58" s="10">
        <v>16264</v>
      </c>
      <c r="B58" s="11">
        <v>42098</v>
      </c>
      <c r="C58" s="12">
        <v>25.93</v>
      </c>
      <c r="D58" s="12">
        <v>1.98</v>
      </c>
      <c r="E58" s="15" t="s">
        <v>11</v>
      </c>
      <c r="F58" s="33">
        <f>250+C53+C55+C56+C57+C58</f>
        <v>727.79999999999984</v>
      </c>
      <c r="G58" s="34">
        <v>717.55</v>
      </c>
      <c r="H58" s="10"/>
      <c r="I58" s="10"/>
    </row>
    <row r="59" spans="1:9" x14ac:dyDescent="0.2">
      <c r="A59" s="10">
        <v>16265</v>
      </c>
      <c r="B59" s="11">
        <v>42100</v>
      </c>
      <c r="C59" s="12">
        <v>48.71</v>
      </c>
      <c r="D59" s="12">
        <v>3.71</v>
      </c>
      <c r="E59" s="17"/>
      <c r="F59" s="18"/>
      <c r="G59" s="19"/>
      <c r="H59" s="12"/>
      <c r="I59" s="10"/>
    </row>
    <row r="60" spans="1:9" x14ac:dyDescent="0.2">
      <c r="A60" s="10">
        <v>16266</v>
      </c>
      <c r="B60" s="11">
        <v>42100</v>
      </c>
      <c r="C60" s="12">
        <v>260</v>
      </c>
      <c r="D60" s="12">
        <v>19.809999999999999</v>
      </c>
      <c r="E60" s="15" t="s">
        <v>21</v>
      </c>
      <c r="H60" s="10"/>
      <c r="I60" s="10"/>
    </row>
    <row r="61" spans="1:9" x14ac:dyDescent="0.2">
      <c r="A61" s="10">
        <v>16267</v>
      </c>
      <c r="B61" s="11">
        <v>42100</v>
      </c>
      <c r="C61" s="12">
        <v>29.069999999999965</v>
      </c>
      <c r="D61" s="12">
        <v>2.2200000000000002</v>
      </c>
      <c r="E61" s="17"/>
      <c r="H61" s="12"/>
      <c r="I61" s="10"/>
    </row>
    <row r="62" spans="1:9" x14ac:dyDescent="0.2">
      <c r="A62" s="10">
        <v>16268</v>
      </c>
      <c r="B62" s="11">
        <v>42100</v>
      </c>
      <c r="C62" s="12">
        <v>16.239999999999998</v>
      </c>
      <c r="D62" s="12">
        <v>1.24</v>
      </c>
      <c r="E62" s="17"/>
      <c r="H62" s="12"/>
      <c r="I62" s="10"/>
    </row>
    <row r="63" spans="1:9" x14ac:dyDescent="0.2">
      <c r="A63" s="10">
        <v>16269</v>
      </c>
      <c r="B63" s="11">
        <v>42100</v>
      </c>
      <c r="C63" s="12">
        <v>159.13</v>
      </c>
      <c r="D63" s="12">
        <v>12.13</v>
      </c>
      <c r="E63" s="15" t="s">
        <v>11</v>
      </c>
      <c r="H63" s="10"/>
      <c r="I63" s="10"/>
    </row>
    <row r="64" spans="1:9" x14ac:dyDescent="0.2">
      <c r="A64" s="10">
        <v>16270</v>
      </c>
      <c r="B64" s="11">
        <v>42100</v>
      </c>
      <c r="C64" s="12">
        <v>14.07</v>
      </c>
      <c r="D64" s="12">
        <v>1.07</v>
      </c>
      <c r="E64" s="15" t="s">
        <v>11</v>
      </c>
      <c r="H64" s="10"/>
      <c r="I64" s="10"/>
    </row>
    <row r="65" spans="1:9" x14ac:dyDescent="0.2">
      <c r="A65" s="10">
        <v>16271</v>
      </c>
      <c r="B65" s="11">
        <v>42100</v>
      </c>
      <c r="C65" s="12">
        <v>18.399999999999999</v>
      </c>
      <c r="D65" s="12">
        <v>1.4</v>
      </c>
      <c r="E65" s="15" t="s">
        <v>26</v>
      </c>
      <c r="H65" s="10"/>
      <c r="I65" s="10"/>
    </row>
    <row r="66" spans="1:9" x14ac:dyDescent="0.2">
      <c r="A66" s="10">
        <v>16272</v>
      </c>
      <c r="B66" s="11">
        <v>42100</v>
      </c>
      <c r="C66" s="12">
        <v>37</v>
      </c>
      <c r="D66" s="12"/>
      <c r="E66" s="15" t="s">
        <v>264</v>
      </c>
      <c r="F66" s="21"/>
      <c r="G66" s="22"/>
      <c r="H66" s="10"/>
      <c r="I66" s="10"/>
    </row>
    <row r="67" spans="1:9" x14ac:dyDescent="0.2">
      <c r="A67" s="10">
        <v>16273</v>
      </c>
      <c r="B67" s="11">
        <v>42100</v>
      </c>
      <c r="C67" s="12">
        <v>32.42</v>
      </c>
      <c r="D67" s="12">
        <v>2.4700000000000002</v>
      </c>
      <c r="E67" s="15" t="s">
        <v>7</v>
      </c>
      <c r="H67" s="10"/>
      <c r="I67" s="10"/>
    </row>
    <row r="68" spans="1:9" x14ac:dyDescent="0.2">
      <c r="A68" s="10">
        <v>16274</v>
      </c>
      <c r="B68" s="11">
        <v>42100</v>
      </c>
      <c r="C68" s="12">
        <v>196.47</v>
      </c>
      <c r="D68" s="12">
        <v>14.97</v>
      </c>
      <c r="E68" s="15" t="s">
        <v>11</v>
      </c>
      <c r="H68" s="10"/>
      <c r="I68" s="10"/>
    </row>
    <row r="69" spans="1:9" x14ac:dyDescent="0.2">
      <c r="A69" s="10">
        <v>16275</v>
      </c>
      <c r="B69" s="11">
        <v>42100</v>
      </c>
      <c r="C69" s="12">
        <v>50.88</v>
      </c>
      <c r="D69" s="12">
        <v>3.88</v>
      </c>
      <c r="E69" s="17"/>
      <c r="F69" s="18"/>
      <c r="G69" s="19"/>
      <c r="H69" s="12"/>
      <c r="I69" s="10"/>
    </row>
    <row r="70" spans="1:9" x14ac:dyDescent="0.2">
      <c r="A70" s="10">
        <v>16276</v>
      </c>
      <c r="B70" s="11">
        <v>42100</v>
      </c>
      <c r="C70" s="12">
        <v>20</v>
      </c>
      <c r="D70" s="12">
        <v>1.52</v>
      </c>
      <c r="E70" s="17"/>
      <c r="F70" s="18"/>
      <c r="G70" s="19"/>
      <c r="H70" s="12"/>
      <c r="I70" s="10"/>
    </row>
    <row r="71" spans="1:9" x14ac:dyDescent="0.2">
      <c r="A71" s="10">
        <v>16277</v>
      </c>
      <c r="B71" s="11">
        <v>42100</v>
      </c>
      <c r="C71" s="12">
        <v>156.96</v>
      </c>
      <c r="D71" s="12">
        <v>11.96</v>
      </c>
      <c r="E71" s="15" t="s">
        <v>11</v>
      </c>
      <c r="H71" s="10"/>
      <c r="I71" s="10"/>
    </row>
    <row r="72" spans="1:9" x14ac:dyDescent="0.2">
      <c r="A72" s="10">
        <v>16278</v>
      </c>
      <c r="B72" s="11">
        <v>42100</v>
      </c>
      <c r="C72" s="12">
        <v>25</v>
      </c>
      <c r="D72" s="12"/>
      <c r="E72" s="13" t="s">
        <v>310</v>
      </c>
      <c r="H72" s="12"/>
      <c r="I72" s="10"/>
    </row>
    <row r="73" spans="1:9" x14ac:dyDescent="0.2">
      <c r="A73" s="10">
        <v>16279</v>
      </c>
      <c r="B73" s="11">
        <v>42100</v>
      </c>
      <c r="C73" s="12">
        <v>16.18</v>
      </c>
      <c r="D73" s="12">
        <v>1.23</v>
      </c>
      <c r="E73" s="15" t="s">
        <v>11</v>
      </c>
      <c r="H73" s="10"/>
      <c r="I73" s="10"/>
    </row>
    <row r="74" spans="1:9" x14ac:dyDescent="0.2">
      <c r="A74" s="10">
        <v>16280</v>
      </c>
      <c r="B74" s="11">
        <v>42100</v>
      </c>
      <c r="C74" s="12">
        <v>114.69</v>
      </c>
      <c r="D74" s="12">
        <v>8.74</v>
      </c>
      <c r="E74" s="15" t="s">
        <v>312</v>
      </c>
      <c r="F74" s="33">
        <f>+C63+C64+C66+C67+C68+C71+C73</f>
        <v>612.23</v>
      </c>
      <c r="G74" s="34">
        <v>604.91999999999996</v>
      </c>
      <c r="H74" s="10"/>
      <c r="I74" s="10"/>
    </row>
    <row r="75" spans="1:9" x14ac:dyDescent="0.2">
      <c r="A75" s="10">
        <v>16281</v>
      </c>
      <c r="B75" s="11">
        <v>42101</v>
      </c>
      <c r="C75" s="12">
        <v>16.239999999999998</v>
      </c>
      <c r="D75" s="12">
        <v>1.24</v>
      </c>
      <c r="E75" s="15" t="s">
        <v>11</v>
      </c>
      <c r="F75" s="21"/>
      <c r="G75" s="22"/>
      <c r="H75" s="10"/>
      <c r="I75" s="10"/>
    </row>
    <row r="76" spans="1:9" x14ac:dyDescent="0.2">
      <c r="A76" s="10">
        <v>16282</v>
      </c>
      <c r="B76" s="11">
        <v>42101</v>
      </c>
      <c r="C76" s="12">
        <v>12.99</v>
      </c>
      <c r="D76" s="12">
        <v>0.99</v>
      </c>
      <c r="E76" s="15" t="s">
        <v>11</v>
      </c>
      <c r="H76" s="10"/>
      <c r="I76" s="10"/>
    </row>
    <row r="77" spans="1:9" x14ac:dyDescent="0.2">
      <c r="A77" s="10">
        <v>16283</v>
      </c>
      <c r="B77" s="11">
        <v>42101</v>
      </c>
      <c r="C77" s="12">
        <v>40</v>
      </c>
      <c r="D77" s="12">
        <v>3.05</v>
      </c>
      <c r="E77" s="17"/>
      <c r="H77" s="12"/>
      <c r="I77" s="10"/>
    </row>
    <row r="78" spans="1:9" x14ac:dyDescent="0.2">
      <c r="A78" s="10">
        <v>16284</v>
      </c>
      <c r="B78" s="11">
        <v>42101</v>
      </c>
      <c r="C78" s="12">
        <v>10.77</v>
      </c>
      <c r="D78" s="12">
        <v>0.82</v>
      </c>
      <c r="E78" s="15" t="s">
        <v>7</v>
      </c>
      <c r="H78" s="10"/>
      <c r="I78" s="10"/>
    </row>
    <row r="79" spans="1:9" x14ac:dyDescent="0.2">
      <c r="A79" s="10">
        <v>16285</v>
      </c>
      <c r="B79" s="11">
        <v>42101</v>
      </c>
      <c r="C79" s="12">
        <v>414.00000000000006</v>
      </c>
      <c r="D79" s="12">
        <v>31.55</v>
      </c>
      <c r="E79" s="17"/>
      <c r="F79" s="18"/>
      <c r="G79" s="19"/>
      <c r="H79" s="12"/>
      <c r="I79" s="10"/>
    </row>
    <row r="80" spans="1:9" x14ac:dyDescent="0.2">
      <c r="A80" s="10">
        <v>16286</v>
      </c>
      <c r="B80" s="11">
        <v>42101</v>
      </c>
      <c r="C80" s="12">
        <v>32</v>
      </c>
      <c r="D80" s="12"/>
      <c r="E80" s="15" t="s">
        <v>264</v>
      </c>
      <c r="H80" s="10"/>
      <c r="I80" s="10"/>
    </row>
    <row r="81" spans="1:9" x14ac:dyDescent="0.2">
      <c r="A81" s="10">
        <v>16287</v>
      </c>
      <c r="B81" s="11">
        <v>42101</v>
      </c>
      <c r="C81" s="12">
        <v>218.33999999999997</v>
      </c>
      <c r="D81" s="12">
        <v>16.64</v>
      </c>
      <c r="E81" s="15" t="s">
        <v>313</v>
      </c>
      <c r="F81" s="33">
        <f>+C75+C76+125.46+C80</f>
        <v>186.69</v>
      </c>
      <c r="G81" s="34">
        <v>183.59</v>
      </c>
      <c r="H81" s="10"/>
      <c r="I81" s="10"/>
    </row>
    <row r="82" spans="1:9" x14ac:dyDescent="0.2">
      <c r="A82" s="10">
        <v>16288</v>
      </c>
      <c r="B82" s="11">
        <v>42102</v>
      </c>
      <c r="C82" s="12">
        <v>74.69</v>
      </c>
      <c r="D82" s="12">
        <v>5.69</v>
      </c>
      <c r="E82" s="17"/>
      <c r="F82" s="12"/>
      <c r="G82" s="12"/>
      <c r="H82" s="12"/>
    </row>
    <row r="83" spans="1:9" x14ac:dyDescent="0.2">
      <c r="A83" s="10">
        <v>16289</v>
      </c>
      <c r="B83" s="11">
        <v>42102</v>
      </c>
      <c r="C83" s="12">
        <v>115</v>
      </c>
      <c r="D83" s="12">
        <v>8.76</v>
      </c>
      <c r="E83" s="15" t="s">
        <v>7</v>
      </c>
      <c r="H83" s="10"/>
      <c r="I83" s="10"/>
    </row>
    <row r="84" spans="1:9" x14ac:dyDescent="0.2">
      <c r="A84" s="10">
        <v>16290</v>
      </c>
      <c r="B84" s="11">
        <v>42102</v>
      </c>
      <c r="C84" s="12">
        <v>63.87</v>
      </c>
      <c r="D84" s="12">
        <v>4.87</v>
      </c>
      <c r="E84" s="15" t="s">
        <v>13</v>
      </c>
      <c r="H84" s="10"/>
      <c r="I84" s="10"/>
    </row>
    <row r="85" spans="1:9" x14ac:dyDescent="0.2">
      <c r="A85" s="10">
        <v>16291</v>
      </c>
      <c r="B85" s="11">
        <v>42102</v>
      </c>
      <c r="C85" s="12">
        <v>20</v>
      </c>
      <c r="D85" s="12">
        <v>0</v>
      </c>
      <c r="E85" s="15" t="s">
        <v>253</v>
      </c>
      <c r="H85" s="10"/>
      <c r="I85" s="10"/>
    </row>
    <row r="86" spans="1:9" x14ac:dyDescent="0.2">
      <c r="A86" s="10">
        <v>16292</v>
      </c>
      <c r="B86" s="11">
        <v>42102</v>
      </c>
      <c r="C86" s="12">
        <v>21.599999999999998</v>
      </c>
      <c r="D86" s="12">
        <v>1.65</v>
      </c>
      <c r="E86" s="17"/>
      <c r="H86" s="12"/>
      <c r="I86" s="10"/>
    </row>
    <row r="87" spans="1:9" x14ac:dyDescent="0.2">
      <c r="A87" s="10">
        <v>16293</v>
      </c>
      <c r="B87" s="11">
        <v>42102</v>
      </c>
      <c r="C87" s="12">
        <v>9.69</v>
      </c>
      <c r="D87" s="12">
        <v>0.74</v>
      </c>
      <c r="E87" s="15" t="s">
        <v>11</v>
      </c>
      <c r="H87" s="10"/>
      <c r="I87" s="10"/>
    </row>
    <row r="88" spans="1:9" x14ac:dyDescent="0.2">
      <c r="A88" s="10">
        <v>16294</v>
      </c>
      <c r="B88" s="11">
        <v>42102</v>
      </c>
      <c r="C88" s="12">
        <v>81.19</v>
      </c>
      <c r="D88" s="12">
        <v>6.19</v>
      </c>
      <c r="E88" s="17"/>
      <c r="F88" s="18"/>
      <c r="G88" s="19"/>
      <c r="H88" s="12"/>
      <c r="I88" s="10"/>
    </row>
    <row r="89" spans="1:9" x14ac:dyDescent="0.2">
      <c r="A89" s="10">
        <v>16295</v>
      </c>
      <c r="B89" s="11">
        <v>42102</v>
      </c>
      <c r="C89" s="12">
        <v>70.36</v>
      </c>
      <c r="D89" s="12">
        <v>5.36</v>
      </c>
      <c r="E89" s="15" t="s">
        <v>11</v>
      </c>
      <c r="H89" s="10"/>
      <c r="I89" s="10"/>
    </row>
    <row r="90" spans="1:9" x14ac:dyDescent="0.2">
      <c r="A90" s="10">
        <v>16296</v>
      </c>
      <c r="B90" s="11">
        <v>42102</v>
      </c>
      <c r="C90" s="12">
        <v>10.83</v>
      </c>
      <c r="D90" s="12">
        <v>0.83</v>
      </c>
      <c r="E90" s="15" t="s">
        <v>11</v>
      </c>
      <c r="F90" s="21"/>
      <c r="G90" s="22"/>
      <c r="H90" s="10"/>
      <c r="I90" s="10"/>
    </row>
    <row r="91" spans="1:9" x14ac:dyDescent="0.2">
      <c r="A91" s="10">
        <v>16297</v>
      </c>
      <c r="B91" s="11">
        <v>42102</v>
      </c>
      <c r="C91" s="12">
        <v>37.830000000000005</v>
      </c>
      <c r="D91" s="12">
        <v>2.88</v>
      </c>
      <c r="E91" s="13"/>
      <c r="F91" s="18"/>
      <c r="G91" s="19"/>
      <c r="H91" s="12"/>
      <c r="I91" s="10"/>
    </row>
    <row r="92" spans="1:9" x14ac:dyDescent="0.2">
      <c r="A92" s="10">
        <v>16298</v>
      </c>
      <c r="B92" s="11">
        <v>42102</v>
      </c>
      <c r="C92" s="12">
        <v>25.98</v>
      </c>
      <c r="D92" s="12">
        <v>1.98</v>
      </c>
      <c r="E92" s="15" t="s">
        <v>7</v>
      </c>
      <c r="F92" s="21"/>
      <c r="G92" s="22"/>
      <c r="H92" s="10"/>
      <c r="I92" s="10"/>
    </row>
    <row r="93" spans="1:9" x14ac:dyDescent="0.2">
      <c r="A93" s="10">
        <v>16299</v>
      </c>
      <c r="B93" s="11">
        <v>42102</v>
      </c>
      <c r="C93" s="12">
        <v>11.85</v>
      </c>
      <c r="D93" s="12">
        <v>0.9</v>
      </c>
      <c r="E93" s="15" t="s">
        <v>11</v>
      </c>
      <c r="F93" s="21"/>
      <c r="G93" s="22"/>
      <c r="H93" s="10"/>
      <c r="I93" s="10"/>
    </row>
    <row r="94" spans="1:9" x14ac:dyDescent="0.2">
      <c r="A94" s="10">
        <v>16300</v>
      </c>
      <c r="B94" s="11">
        <v>42102</v>
      </c>
      <c r="C94" s="12">
        <v>100</v>
      </c>
      <c r="D94" s="12">
        <v>7.62</v>
      </c>
      <c r="E94" s="17"/>
      <c r="H94" s="12"/>
      <c r="I94" s="10"/>
    </row>
    <row r="95" spans="1:9" x14ac:dyDescent="0.2">
      <c r="A95" s="10">
        <v>16301</v>
      </c>
      <c r="B95" s="11">
        <v>42102</v>
      </c>
      <c r="C95" s="12">
        <v>41.669999999999995</v>
      </c>
      <c r="D95" s="12">
        <v>3.18</v>
      </c>
      <c r="E95" s="17"/>
      <c r="F95" s="18"/>
      <c r="G95" s="19"/>
      <c r="H95" s="12"/>
      <c r="I95" s="10"/>
    </row>
    <row r="96" spans="1:9" x14ac:dyDescent="0.2">
      <c r="A96" s="10">
        <v>16302</v>
      </c>
      <c r="B96" s="11">
        <v>42102</v>
      </c>
      <c r="C96" s="12">
        <v>17</v>
      </c>
      <c r="D96" s="12">
        <v>1.3</v>
      </c>
      <c r="E96" s="17"/>
      <c r="F96" s="18"/>
      <c r="G96" s="19"/>
      <c r="H96" s="12"/>
      <c r="I96" s="10"/>
    </row>
    <row r="97" spans="1:9" x14ac:dyDescent="0.2">
      <c r="A97" s="10">
        <v>16303</v>
      </c>
      <c r="B97" s="11">
        <v>42102</v>
      </c>
      <c r="C97" s="12">
        <v>7</v>
      </c>
      <c r="D97" s="12"/>
      <c r="E97" s="13" t="s">
        <v>24</v>
      </c>
      <c r="H97" s="12"/>
      <c r="I97" s="10"/>
    </row>
    <row r="98" spans="1:9" x14ac:dyDescent="0.2">
      <c r="A98" s="10">
        <v>16304</v>
      </c>
      <c r="B98" s="11">
        <v>42102</v>
      </c>
      <c r="C98" s="12">
        <v>60.62</v>
      </c>
      <c r="D98" s="12">
        <v>4.62</v>
      </c>
      <c r="E98" s="15" t="s">
        <v>11</v>
      </c>
      <c r="H98" s="10"/>
      <c r="I98" s="10"/>
    </row>
    <row r="99" spans="1:9" x14ac:dyDescent="0.2">
      <c r="A99" s="10">
        <v>16305</v>
      </c>
      <c r="B99" s="11">
        <v>42102</v>
      </c>
      <c r="C99" s="12">
        <v>28.27</v>
      </c>
      <c r="D99" s="12">
        <v>2.15</v>
      </c>
      <c r="E99" s="17"/>
      <c r="F99" s="18"/>
      <c r="G99" s="19"/>
      <c r="H99" s="12"/>
      <c r="I99" s="10"/>
    </row>
    <row r="100" spans="1:9" x14ac:dyDescent="0.2">
      <c r="A100" s="10">
        <v>16306</v>
      </c>
      <c r="B100" s="11">
        <v>42102</v>
      </c>
      <c r="C100" s="12">
        <v>49.8</v>
      </c>
      <c r="D100" s="12">
        <v>3.8</v>
      </c>
      <c r="E100" s="15" t="s">
        <v>21</v>
      </c>
      <c r="H100" s="10"/>
      <c r="I100" s="10"/>
    </row>
    <row r="101" spans="1:9" x14ac:dyDescent="0.2">
      <c r="A101" s="10">
        <v>16307</v>
      </c>
      <c r="B101" s="11">
        <v>42102</v>
      </c>
      <c r="C101" s="12">
        <v>59.68</v>
      </c>
      <c r="D101" s="12"/>
      <c r="E101" s="13" t="s">
        <v>310</v>
      </c>
      <c r="F101" s="33">
        <f>+C84+C83+C87+C89+C90+C92+C93+C98+105.68</f>
        <v>473.88000000000005</v>
      </c>
      <c r="G101" s="34">
        <v>465.85</v>
      </c>
      <c r="H101" s="12"/>
      <c r="I101" s="10"/>
    </row>
    <row r="102" spans="1:9" x14ac:dyDescent="0.2">
      <c r="A102" s="10">
        <v>16308</v>
      </c>
      <c r="B102" s="11">
        <v>42103</v>
      </c>
      <c r="C102" s="12">
        <v>68.14</v>
      </c>
      <c r="D102" s="12">
        <v>5.19</v>
      </c>
      <c r="E102" s="17"/>
      <c r="F102" s="18"/>
      <c r="G102" s="19"/>
      <c r="H102" s="12"/>
      <c r="I102" s="10"/>
    </row>
    <row r="103" spans="1:9" x14ac:dyDescent="0.2">
      <c r="A103" s="10">
        <v>16309</v>
      </c>
      <c r="B103" s="11">
        <v>42103</v>
      </c>
      <c r="C103" s="12">
        <v>41</v>
      </c>
      <c r="D103" s="12"/>
      <c r="E103" s="15" t="s">
        <v>21</v>
      </c>
      <c r="F103" s="21"/>
      <c r="G103" s="22"/>
      <c r="H103" s="10"/>
      <c r="I103" s="10"/>
    </row>
    <row r="104" spans="1:9" x14ac:dyDescent="0.2">
      <c r="A104" s="10">
        <v>16310</v>
      </c>
      <c r="B104" s="11">
        <v>42103</v>
      </c>
      <c r="C104" s="12">
        <v>156.96</v>
      </c>
      <c r="D104" s="12">
        <v>11.96</v>
      </c>
      <c r="E104" s="17"/>
      <c r="H104" s="12"/>
      <c r="I104" s="10"/>
    </row>
    <row r="105" spans="1:9" x14ac:dyDescent="0.2">
      <c r="A105" s="10">
        <v>16311</v>
      </c>
      <c r="B105" s="11">
        <v>42103</v>
      </c>
      <c r="C105" s="12">
        <v>100.50999999999999</v>
      </c>
      <c r="D105" s="12">
        <v>7.66</v>
      </c>
      <c r="E105" s="15" t="s">
        <v>11</v>
      </c>
      <c r="F105" s="21"/>
      <c r="G105" s="22"/>
      <c r="H105" s="10"/>
      <c r="I105" s="10"/>
    </row>
    <row r="106" spans="1:9" x14ac:dyDescent="0.2">
      <c r="A106" s="10">
        <v>16312</v>
      </c>
      <c r="B106" s="11">
        <v>42103</v>
      </c>
      <c r="C106" s="12">
        <v>16.18</v>
      </c>
      <c r="D106" s="12">
        <v>1.23</v>
      </c>
      <c r="E106" s="15" t="s">
        <v>11</v>
      </c>
      <c r="F106" s="21"/>
      <c r="G106" s="22"/>
      <c r="H106" s="10"/>
      <c r="I106" s="10"/>
    </row>
    <row r="107" spans="1:9" x14ac:dyDescent="0.2">
      <c r="A107" s="10">
        <v>16313</v>
      </c>
      <c r="B107" s="11">
        <v>42103</v>
      </c>
      <c r="C107" s="12">
        <v>25.93</v>
      </c>
      <c r="D107" s="12">
        <v>1.98</v>
      </c>
      <c r="E107" s="17"/>
      <c r="F107" s="18"/>
      <c r="G107" s="19"/>
      <c r="H107" s="12"/>
      <c r="I107" s="10"/>
    </row>
    <row r="108" spans="1:9" x14ac:dyDescent="0.2">
      <c r="A108" s="10">
        <v>16314</v>
      </c>
      <c r="B108" s="11">
        <v>42103</v>
      </c>
      <c r="C108" s="12">
        <v>173.2</v>
      </c>
      <c r="D108" s="12">
        <v>13.2</v>
      </c>
      <c r="E108" s="17"/>
      <c r="H108" s="12"/>
      <c r="I108" s="10"/>
    </row>
    <row r="109" spans="1:9" x14ac:dyDescent="0.2">
      <c r="A109" s="10">
        <v>16315</v>
      </c>
      <c r="B109" s="11">
        <v>42103</v>
      </c>
      <c r="C109" s="12">
        <v>6</v>
      </c>
      <c r="D109" s="12">
        <v>0.46</v>
      </c>
      <c r="E109" s="17"/>
      <c r="F109" s="18"/>
      <c r="G109" s="19"/>
      <c r="H109" s="12"/>
      <c r="I109" s="10"/>
    </row>
    <row r="110" spans="1:9" x14ac:dyDescent="0.2">
      <c r="A110" s="10">
        <v>16316</v>
      </c>
      <c r="B110" s="11">
        <v>42103</v>
      </c>
      <c r="C110" s="12">
        <v>10</v>
      </c>
      <c r="D110" s="12">
        <v>0.76</v>
      </c>
      <c r="E110" s="17"/>
      <c r="H110" s="12"/>
      <c r="I110" s="10"/>
    </row>
    <row r="111" spans="1:9" x14ac:dyDescent="0.2">
      <c r="A111" s="10">
        <v>16317</v>
      </c>
      <c r="B111" s="11">
        <v>42103</v>
      </c>
      <c r="C111" s="12">
        <v>31.279999999999998</v>
      </c>
      <c r="D111" s="12">
        <v>2.38</v>
      </c>
      <c r="E111" s="15" t="s">
        <v>11</v>
      </c>
      <c r="H111" s="10"/>
      <c r="I111" s="10"/>
    </row>
    <row r="112" spans="1:9" x14ac:dyDescent="0.2">
      <c r="A112" s="10">
        <v>16318</v>
      </c>
      <c r="B112" s="11">
        <v>42103</v>
      </c>
      <c r="C112" s="12">
        <v>167.25</v>
      </c>
      <c r="D112" s="12">
        <v>12.75</v>
      </c>
      <c r="E112" s="17"/>
      <c r="H112" s="12"/>
      <c r="I112" s="10"/>
    </row>
    <row r="113" spans="1:9" x14ac:dyDescent="0.2">
      <c r="A113" s="10">
        <v>16319</v>
      </c>
      <c r="B113" s="11">
        <v>42103</v>
      </c>
      <c r="C113" s="128">
        <v>444.69</v>
      </c>
      <c r="D113" s="12">
        <v>33.89</v>
      </c>
      <c r="E113" s="15" t="s">
        <v>11</v>
      </c>
      <c r="H113" s="10"/>
      <c r="I113" s="10"/>
    </row>
    <row r="114" spans="1:9" x14ac:dyDescent="0.2">
      <c r="A114" s="10">
        <v>16320</v>
      </c>
      <c r="B114" s="11">
        <v>42103</v>
      </c>
      <c r="C114" s="12">
        <v>17</v>
      </c>
      <c r="D114" s="12"/>
      <c r="E114" s="13" t="s">
        <v>314</v>
      </c>
      <c r="H114" s="12"/>
      <c r="I114" s="10"/>
    </row>
    <row r="115" spans="1:9" x14ac:dyDescent="0.2">
      <c r="A115" s="10">
        <v>16321</v>
      </c>
      <c r="B115" s="11">
        <v>42103</v>
      </c>
      <c r="C115" s="12">
        <v>12.94</v>
      </c>
      <c r="D115" s="12">
        <v>0.99</v>
      </c>
      <c r="E115" s="15" t="s">
        <v>11</v>
      </c>
      <c r="H115" s="10"/>
      <c r="I115" s="10"/>
    </row>
    <row r="116" spans="1:9" x14ac:dyDescent="0.2">
      <c r="A116" s="10">
        <v>16322</v>
      </c>
      <c r="B116" s="11">
        <v>42103</v>
      </c>
      <c r="C116" s="12">
        <v>70</v>
      </c>
      <c r="D116" s="12"/>
      <c r="E116" s="13" t="s">
        <v>315</v>
      </c>
      <c r="H116" s="12"/>
      <c r="I116" s="10"/>
    </row>
    <row r="117" spans="1:9" x14ac:dyDescent="0.2">
      <c r="A117" s="10">
        <v>16323</v>
      </c>
      <c r="B117" s="11">
        <v>42103</v>
      </c>
      <c r="C117" s="12">
        <v>104</v>
      </c>
      <c r="D117" s="12"/>
      <c r="E117" s="15" t="s">
        <v>11</v>
      </c>
      <c r="H117" s="10"/>
      <c r="I117" s="10"/>
    </row>
    <row r="118" spans="1:9" x14ac:dyDescent="0.2">
      <c r="A118" s="10">
        <v>16324</v>
      </c>
      <c r="B118" s="11">
        <v>42103</v>
      </c>
      <c r="C118" s="12">
        <v>170.98</v>
      </c>
      <c r="D118" s="12">
        <v>13.03</v>
      </c>
      <c r="E118" s="15" t="s">
        <v>11</v>
      </c>
      <c r="H118" s="10"/>
      <c r="I118" s="10"/>
    </row>
    <row r="119" spans="1:9" x14ac:dyDescent="0.2">
      <c r="A119" s="10">
        <v>16325</v>
      </c>
      <c r="B119" s="11">
        <v>42103</v>
      </c>
      <c r="C119" s="12">
        <v>-13</v>
      </c>
      <c r="D119" s="12"/>
      <c r="E119" s="15" t="s">
        <v>11</v>
      </c>
      <c r="F119" s="21"/>
      <c r="G119" s="22"/>
      <c r="H119" s="10"/>
      <c r="I119" s="10"/>
    </row>
    <row r="120" spans="1:9" x14ac:dyDescent="0.2">
      <c r="A120" s="10">
        <v>16326</v>
      </c>
      <c r="B120" s="11">
        <v>42103</v>
      </c>
      <c r="C120" s="12">
        <v>212.71</v>
      </c>
      <c r="D120" s="12">
        <v>16.21</v>
      </c>
      <c r="E120" s="15" t="s">
        <v>11</v>
      </c>
      <c r="F120" s="33">
        <f>236.25+C106+C111+C114+C115+C117+C118+C119+C120+C105</f>
        <v>888.85</v>
      </c>
      <c r="G120" s="34">
        <v>877.74</v>
      </c>
      <c r="H120" s="10"/>
      <c r="I120" s="10"/>
    </row>
    <row r="121" spans="1:9" x14ac:dyDescent="0.2">
      <c r="A121" s="10">
        <v>16327</v>
      </c>
      <c r="B121" s="11">
        <v>42104</v>
      </c>
      <c r="C121" s="12">
        <v>433</v>
      </c>
      <c r="D121" s="12">
        <v>33</v>
      </c>
      <c r="E121" s="15" t="s">
        <v>11</v>
      </c>
      <c r="H121" s="10"/>
      <c r="I121" s="10"/>
    </row>
    <row r="122" spans="1:9" x14ac:dyDescent="0.2">
      <c r="A122" s="10">
        <v>16328</v>
      </c>
      <c r="B122" s="11">
        <v>42104</v>
      </c>
      <c r="C122" s="12">
        <v>7.58</v>
      </c>
      <c r="D122" s="12">
        <v>0.57999999999999996</v>
      </c>
      <c r="E122" s="15" t="s">
        <v>11</v>
      </c>
      <c r="H122" s="10"/>
      <c r="I122" s="10"/>
    </row>
    <row r="123" spans="1:9" x14ac:dyDescent="0.2">
      <c r="A123" s="10">
        <v>16329</v>
      </c>
      <c r="B123" s="11">
        <v>42104</v>
      </c>
      <c r="C123" s="12">
        <v>170</v>
      </c>
      <c r="D123" s="12">
        <v>12.96</v>
      </c>
      <c r="E123" s="17"/>
      <c r="F123" s="18"/>
      <c r="G123" s="19"/>
      <c r="H123" s="12"/>
      <c r="I123" s="10"/>
    </row>
    <row r="124" spans="1:9" x14ac:dyDescent="0.2">
      <c r="A124" s="10">
        <v>16330</v>
      </c>
      <c r="B124" s="11">
        <v>42104</v>
      </c>
      <c r="C124" s="12">
        <v>188.36</v>
      </c>
      <c r="D124" s="12">
        <v>14.36</v>
      </c>
      <c r="E124" s="15" t="s">
        <v>11</v>
      </c>
      <c r="F124" s="21"/>
      <c r="G124" s="22"/>
      <c r="H124" s="10"/>
      <c r="I124" s="10"/>
    </row>
    <row r="125" spans="1:9" x14ac:dyDescent="0.2">
      <c r="A125" s="10">
        <v>16331</v>
      </c>
      <c r="B125" s="11">
        <v>42104</v>
      </c>
      <c r="C125" s="12">
        <v>644.09</v>
      </c>
      <c r="D125" s="12">
        <v>49.09</v>
      </c>
      <c r="E125" s="15"/>
      <c r="H125" s="10"/>
      <c r="I125" s="10"/>
    </row>
    <row r="126" spans="1:9" x14ac:dyDescent="0.2">
      <c r="A126" s="10">
        <v>16332</v>
      </c>
      <c r="B126" s="11">
        <v>42104</v>
      </c>
      <c r="C126" s="12">
        <v>188.36</v>
      </c>
      <c r="D126" s="12">
        <v>14.36</v>
      </c>
      <c r="E126" s="15" t="s">
        <v>11</v>
      </c>
      <c r="F126" s="21"/>
      <c r="G126" s="22"/>
      <c r="H126" s="10"/>
      <c r="I126" s="10"/>
    </row>
    <row r="127" spans="1:9" x14ac:dyDescent="0.2">
      <c r="A127" s="10">
        <v>16333</v>
      </c>
      <c r="B127" s="11">
        <v>42104</v>
      </c>
      <c r="C127" s="12">
        <v>37.830000000000005</v>
      </c>
      <c r="D127" s="12">
        <v>2.88</v>
      </c>
      <c r="E127" s="13"/>
      <c r="F127" s="18"/>
      <c r="G127" s="19"/>
      <c r="H127" s="12"/>
      <c r="I127" s="10"/>
    </row>
    <row r="128" spans="1:9" x14ac:dyDescent="0.2">
      <c r="A128" s="10">
        <v>16334</v>
      </c>
      <c r="B128" s="11">
        <v>42104</v>
      </c>
      <c r="C128" s="12">
        <v>167</v>
      </c>
      <c r="D128" s="12"/>
      <c r="E128" s="13" t="s">
        <v>310</v>
      </c>
      <c r="F128" s="18"/>
      <c r="G128" s="19"/>
      <c r="H128" s="12"/>
      <c r="I128" s="10"/>
    </row>
    <row r="129" spans="1:9" x14ac:dyDescent="0.2">
      <c r="A129" s="10">
        <v>16335</v>
      </c>
      <c r="B129" s="11">
        <v>42104</v>
      </c>
      <c r="C129" s="12">
        <v>391.6</v>
      </c>
      <c r="D129" s="12"/>
      <c r="E129" s="13" t="s">
        <v>310</v>
      </c>
      <c r="F129" s="18"/>
      <c r="G129" s="19"/>
      <c r="H129" s="12"/>
      <c r="I129" s="10"/>
    </row>
    <row r="130" spans="1:9" x14ac:dyDescent="0.2">
      <c r="A130" s="10">
        <v>16336</v>
      </c>
      <c r="B130" s="11">
        <v>42104</v>
      </c>
      <c r="C130" s="12">
        <v>12.99</v>
      </c>
      <c r="D130" s="12">
        <v>0.99</v>
      </c>
      <c r="E130" s="15" t="s">
        <v>11</v>
      </c>
      <c r="F130" s="21"/>
      <c r="G130" s="22"/>
      <c r="H130" s="10"/>
      <c r="I130" s="10"/>
    </row>
    <row r="131" spans="1:9" x14ac:dyDescent="0.2">
      <c r="A131" s="10">
        <v>16337</v>
      </c>
      <c r="B131" s="11">
        <v>42104</v>
      </c>
      <c r="C131" s="12">
        <v>25.93</v>
      </c>
      <c r="D131" s="12">
        <v>1.98</v>
      </c>
      <c r="E131" s="15" t="s">
        <v>11</v>
      </c>
      <c r="H131" s="10"/>
      <c r="I131" s="10"/>
    </row>
    <row r="132" spans="1:9" x14ac:dyDescent="0.2">
      <c r="A132" s="10">
        <v>16338</v>
      </c>
      <c r="B132" s="11">
        <v>42104</v>
      </c>
      <c r="C132" s="12">
        <v>401.61</v>
      </c>
      <c r="D132" s="12">
        <v>30.61</v>
      </c>
      <c r="E132" s="15" t="s">
        <v>7</v>
      </c>
      <c r="H132" s="10"/>
      <c r="I132" s="10"/>
    </row>
    <row r="133" spans="1:9" x14ac:dyDescent="0.2">
      <c r="A133" s="10">
        <v>16339</v>
      </c>
      <c r="B133" s="11">
        <v>42104</v>
      </c>
      <c r="C133" s="12">
        <v>35</v>
      </c>
      <c r="D133" s="12"/>
      <c r="E133" s="13" t="s">
        <v>310</v>
      </c>
      <c r="F133" s="33">
        <f>+C122+C126+C130+C131+C132</f>
        <v>636.47</v>
      </c>
      <c r="G133" s="34">
        <v>629.91999999999996</v>
      </c>
      <c r="H133" s="12"/>
      <c r="I133" s="10"/>
    </row>
    <row r="134" spans="1:9" x14ac:dyDescent="0.2">
      <c r="A134" s="10">
        <v>16340</v>
      </c>
      <c r="B134" s="11">
        <v>42105</v>
      </c>
      <c r="C134" s="12">
        <v>159.13</v>
      </c>
      <c r="D134" s="12">
        <v>12.13</v>
      </c>
      <c r="E134" s="17"/>
      <c r="H134" s="12"/>
      <c r="I134" s="10"/>
    </row>
    <row r="135" spans="1:9" x14ac:dyDescent="0.2">
      <c r="A135" s="10">
        <v>16341</v>
      </c>
      <c r="B135" s="11">
        <v>42105</v>
      </c>
      <c r="C135" s="12">
        <v>21.65</v>
      </c>
      <c r="D135" s="12">
        <v>1.65</v>
      </c>
      <c r="E135" s="15" t="s">
        <v>7</v>
      </c>
      <c r="F135" s="21"/>
      <c r="G135" s="22"/>
      <c r="H135" s="10"/>
      <c r="I135" s="10"/>
    </row>
    <row r="136" spans="1:9" x14ac:dyDescent="0.2">
      <c r="A136" s="10">
        <v>16342</v>
      </c>
      <c r="B136" s="11">
        <v>42105</v>
      </c>
      <c r="C136" s="12">
        <v>125.57</v>
      </c>
      <c r="D136" s="12">
        <v>9.57</v>
      </c>
      <c r="E136" s="15" t="s">
        <v>7</v>
      </c>
      <c r="F136" s="21"/>
      <c r="G136" s="22"/>
      <c r="H136" s="10"/>
      <c r="I136" s="10"/>
    </row>
    <row r="137" spans="1:9" x14ac:dyDescent="0.2">
      <c r="A137" s="10">
        <v>16343</v>
      </c>
      <c r="B137" s="11">
        <v>42105</v>
      </c>
      <c r="C137" s="12">
        <v>266.83999999999997</v>
      </c>
      <c r="D137" s="12">
        <v>20.34</v>
      </c>
      <c r="E137" s="15" t="s">
        <v>11</v>
      </c>
      <c r="F137" s="21"/>
      <c r="G137" s="22"/>
      <c r="H137" s="10"/>
      <c r="I137" s="10"/>
    </row>
    <row r="138" spans="1:9" x14ac:dyDescent="0.2">
      <c r="A138" s="10">
        <v>16344</v>
      </c>
      <c r="B138" s="11">
        <v>42105</v>
      </c>
      <c r="C138" s="12">
        <v>8.52</v>
      </c>
      <c r="D138" s="12"/>
      <c r="E138" s="13" t="s">
        <v>36</v>
      </c>
      <c r="H138" s="12"/>
      <c r="I138" s="10"/>
    </row>
    <row r="139" spans="1:9" x14ac:dyDescent="0.2">
      <c r="A139" s="10">
        <v>16345</v>
      </c>
      <c r="B139" s="11">
        <v>42105</v>
      </c>
      <c r="C139" s="12">
        <v>0</v>
      </c>
      <c r="D139" s="12"/>
      <c r="E139" s="17"/>
      <c r="H139" s="12"/>
      <c r="I139" s="10"/>
    </row>
    <row r="140" spans="1:9" x14ac:dyDescent="0.2">
      <c r="A140" s="10">
        <v>16346</v>
      </c>
      <c r="B140" s="11">
        <v>42105</v>
      </c>
      <c r="C140" s="12">
        <v>43.3</v>
      </c>
      <c r="D140" s="12">
        <v>3.3</v>
      </c>
      <c r="E140" s="15" t="s">
        <v>11</v>
      </c>
      <c r="F140" s="21"/>
      <c r="G140" s="22"/>
      <c r="H140" s="10"/>
      <c r="I140" s="10"/>
    </row>
    <row r="141" spans="1:9" x14ac:dyDescent="0.2">
      <c r="A141" s="10">
        <v>16347</v>
      </c>
      <c r="B141" s="11">
        <v>42105</v>
      </c>
      <c r="C141" s="12">
        <v>10</v>
      </c>
      <c r="D141" s="12">
        <v>0.76</v>
      </c>
      <c r="E141" s="17"/>
      <c r="H141" s="12"/>
      <c r="I141" s="10"/>
    </row>
    <row r="142" spans="1:9" x14ac:dyDescent="0.2">
      <c r="A142" s="10">
        <v>16348</v>
      </c>
      <c r="B142" s="11">
        <v>42105</v>
      </c>
      <c r="C142" s="12">
        <v>43.3</v>
      </c>
      <c r="D142" s="12">
        <v>3.3</v>
      </c>
      <c r="E142" s="15" t="s">
        <v>13</v>
      </c>
      <c r="F142" s="21"/>
      <c r="G142" s="22"/>
      <c r="H142" s="10"/>
      <c r="I142" s="10"/>
    </row>
    <row r="143" spans="1:9" x14ac:dyDescent="0.2">
      <c r="A143" s="10">
        <v>16349</v>
      </c>
      <c r="B143" s="11">
        <v>42105</v>
      </c>
      <c r="C143" s="12">
        <v>487.13</v>
      </c>
      <c r="D143" s="12">
        <v>37.130000000000003</v>
      </c>
      <c r="E143" s="13"/>
      <c r="F143" s="18"/>
      <c r="G143" s="19"/>
      <c r="H143" s="12"/>
      <c r="I143" s="10"/>
    </row>
    <row r="144" spans="1:9" x14ac:dyDescent="0.2">
      <c r="A144" s="10">
        <v>16350</v>
      </c>
      <c r="B144" s="11">
        <v>42105</v>
      </c>
      <c r="C144" s="12">
        <v>431.92</v>
      </c>
      <c r="D144" s="12">
        <v>32.92</v>
      </c>
      <c r="E144" s="13" t="s">
        <v>316</v>
      </c>
      <c r="F144" s="18"/>
      <c r="G144" s="19"/>
      <c r="H144" s="12"/>
      <c r="I144" s="10"/>
    </row>
    <row r="145" spans="1:9" x14ac:dyDescent="0.2">
      <c r="A145" s="10">
        <v>16351</v>
      </c>
      <c r="B145" s="11">
        <v>42105</v>
      </c>
      <c r="C145" s="12">
        <v>10.83</v>
      </c>
      <c r="D145" s="12">
        <v>0.83</v>
      </c>
      <c r="E145" s="13"/>
      <c r="F145" s="18"/>
      <c r="G145" s="19"/>
      <c r="H145" s="12"/>
      <c r="I145" s="10"/>
    </row>
    <row r="146" spans="1:9" x14ac:dyDescent="0.2">
      <c r="A146" s="10">
        <v>16352</v>
      </c>
      <c r="B146" s="11">
        <v>42105</v>
      </c>
      <c r="C146" s="12">
        <v>184.57</v>
      </c>
      <c r="D146" s="12">
        <v>14.07</v>
      </c>
      <c r="E146" s="15" t="s">
        <v>11</v>
      </c>
      <c r="F146" s="33">
        <f>+C135+C136+C137+C121+C142+C146+247.95+C140</f>
        <v>1366.1799999999998</v>
      </c>
      <c r="G146" s="34">
        <v>1345.77</v>
      </c>
      <c r="H146" s="10"/>
      <c r="I146" s="10"/>
    </row>
    <row r="147" spans="1:9" x14ac:dyDescent="0.2">
      <c r="A147" s="10">
        <v>16353</v>
      </c>
      <c r="B147" s="11">
        <v>42107</v>
      </c>
      <c r="C147" s="12">
        <v>113.66</v>
      </c>
      <c r="D147" s="12">
        <v>8.66</v>
      </c>
      <c r="E147" s="17"/>
      <c r="F147" s="18"/>
      <c r="G147" s="19"/>
      <c r="H147" s="12"/>
      <c r="I147" s="10"/>
    </row>
    <row r="148" spans="1:9" x14ac:dyDescent="0.2">
      <c r="A148" s="10">
        <v>16354</v>
      </c>
      <c r="B148" s="11">
        <v>42107</v>
      </c>
      <c r="C148" s="12">
        <v>6.01</v>
      </c>
      <c r="D148" s="12">
        <v>0.46</v>
      </c>
      <c r="E148" s="17"/>
      <c r="F148" s="18"/>
      <c r="G148" s="19"/>
      <c r="H148" s="12"/>
      <c r="I148" s="10"/>
    </row>
    <row r="149" spans="1:9" x14ac:dyDescent="0.2">
      <c r="A149" s="10">
        <v>16355</v>
      </c>
      <c r="B149" s="11">
        <v>42107</v>
      </c>
      <c r="C149" s="12">
        <v>43.84</v>
      </c>
      <c r="D149" s="12">
        <v>3.34</v>
      </c>
      <c r="E149" s="15" t="s">
        <v>11</v>
      </c>
      <c r="F149" s="21"/>
      <c r="G149" s="22"/>
      <c r="H149" s="12"/>
      <c r="I149" s="10"/>
    </row>
    <row r="150" spans="1:9" x14ac:dyDescent="0.2">
      <c r="A150" s="10">
        <v>16356</v>
      </c>
      <c r="B150" s="11">
        <v>42107</v>
      </c>
      <c r="C150" s="12">
        <v>37.89</v>
      </c>
      <c r="D150" s="12">
        <v>2.89</v>
      </c>
      <c r="E150" s="15" t="s">
        <v>7</v>
      </c>
      <c r="F150" s="21"/>
      <c r="G150" s="22"/>
      <c r="H150" s="10"/>
      <c r="I150" s="10"/>
    </row>
    <row r="151" spans="1:9" x14ac:dyDescent="0.2">
      <c r="A151" s="10">
        <v>16357</v>
      </c>
      <c r="B151" s="11">
        <v>42107</v>
      </c>
      <c r="C151" s="12">
        <v>234.42000000000002</v>
      </c>
      <c r="D151" s="12">
        <v>17.87</v>
      </c>
      <c r="E151" s="17"/>
      <c r="F151" s="18"/>
      <c r="G151" s="19"/>
      <c r="H151" s="12"/>
      <c r="I151" s="10"/>
    </row>
    <row r="152" spans="1:9" x14ac:dyDescent="0.2">
      <c r="A152" s="10">
        <v>16358</v>
      </c>
      <c r="B152" s="11">
        <v>42107</v>
      </c>
      <c r="C152" s="12">
        <v>8</v>
      </c>
      <c r="D152" s="12">
        <v>0.61</v>
      </c>
      <c r="E152" s="17"/>
      <c r="F152" s="18"/>
      <c r="G152" s="19"/>
      <c r="H152" s="12"/>
      <c r="I152" s="10"/>
    </row>
    <row r="153" spans="1:9" x14ac:dyDescent="0.2">
      <c r="A153" s="10">
        <v>16359</v>
      </c>
      <c r="B153" s="11">
        <v>42107</v>
      </c>
      <c r="C153" s="12">
        <v>74.69</v>
      </c>
      <c r="D153" s="12">
        <v>5.69</v>
      </c>
      <c r="E153" s="15" t="s">
        <v>11</v>
      </c>
      <c r="F153" s="21"/>
      <c r="G153" s="22"/>
      <c r="H153" s="10"/>
      <c r="I153" s="10"/>
    </row>
    <row r="154" spans="1:9" x14ac:dyDescent="0.2">
      <c r="A154" s="10">
        <v>16360</v>
      </c>
      <c r="B154" s="11">
        <v>42107</v>
      </c>
      <c r="C154" s="12">
        <v>74.69</v>
      </c>
      <c r="D154" s="12">
        <v>5.69</v>
      </c>
      <c r="E154" s="15" t="s">
        <v>11</v>
      </c>
      <c r="H154" s="10"/>
      <c r="I154" s="10"/>
    </row>
    <row r="155" spans="1:9" x14ac:dyDescent="0.2">
      <c r="A155" s="10">
        <v>16361</v>
      </c>
      <c r="B155" s="11">
        <v>42107</v>
      </c>
      <c r="C155" s="12">
        <v>24.84</v>
      </c>
      <c r="D155" s="12">
        <v>1.89</v>
      </c>
      <c r="E155" s="15" t="s">
        <v>11</v>
      </c>
      <c r="H155" s="10"/>
      <c r="I155" s="10"/>
    </row>
    <row r="156" spans="1:9" x14ac:dyDescent="0.2">
      <c r="A156" s="10">
        <v>16362</v>
      </c>
      <c r="B156" s="11">
        <v>42107</v>
      </c>
      <c r="C156" s="12">
        <v>40</v>
      </c>
      <c r="D156" s="12">
        <v>3.05</v>
      </c>
      <c r="E156" s="17"/>
      <c r="H156" s="12"/>
      <c r="I156" s="10"/>
    </row>
    <row r="157" spans="1:9" x14ac:dyDescent="0.2">
      <c r="A157" s="10">
        <v>16363</v>
      </c>
      <c r="B157" s="11">
        <v>42107</v>
      </c>
      <c r="C157" s="12">
        <v>121.24</v>
      </c>
      <c r="D157" s="12">
        <v>9.24</v>
      </c>
      <c r="E157" s="15" t="s">
        <v>21</v>
      </c>
      <c r="F157" s="33">
        <f>+C149+C150+C153+C154+C124+C155+9.8</f>
        <v>454.11</v>
      </c>
      <c r="G157" s="34">
        <v>450.65</v>
      </c>
      <c r="H157" s="10"/>
      <c r="I157" s="10"/>
    </row>
    <row r="158" spans="1:9" x14ac:dyDescent="0.2">
      <c r="A158" s="10">
        <v>16364</v>
      </c>
      <c r="B158" s="11">
        <v>42108</v>
      </c>
      <c r="C158" s="12">
        <v>36.6</v>
      </c>
      <c r="D158" s="12"/>
      <c r="E158" s="15" t="s">
        <v>271</v>
      </c>
      <c r="F158" s="21"/>
      <c r="G158" s="22"/>
      <c r="H158" s="10"/>
      <c r="I158" s="10"/>
    </row>
    <row r="159" spans="1:9" x14ac:dyDescent="0.2">
      <c r="A159" s="10">
        <v>16365</v>
      </c>
      <c r="B159" s="11">
        <v>42108</v>
      </c>
      <c r="C159" s="12">
        <v>83</v>
      </c>
      <c r="D159" s="12"/>
      <c r="E159" s="15" t="s">
        <v>317</v>
      </c>
      <c r="H159" s="10"/>
      <c r="I159" s="10"/>
    </row>
    <row r="160" spans="1:9" x14ac:dyDescent="0.2">
      <c r="A160" s="10">
        <v>16366</v>
      </c>
      <c r="B160" s="11">
        <v>42108</v>
      </c>
      <c r="C160" s="12">
        <v>55.150000000000006</v>
      </c>
      <c r="D160" s="12">
        <v>4.2</v>
      </c>
      <c r="E160" s="15" t="s">
        <v>11</v>
      </c>
      <c r="H160" s="10"/>
      <c r="I160" s="10"/>
    </row>
    <row r="161" spans="1:9" x14ac:dyDescent="0.2">
      <c r="A161" s="10">
        <v>16367</v>
      </c>
      <c r="B161" s="11">
        <v>42108</v>
      </c>
      <c r="C161" s="12">
        <v>18.349999999999998</v>
      </c>
      <c r="D161" s="12">
        <v>1.4</v>
      </c>
      <c r="E161" s="17"/>
      <c r="H161" s="12"/>
      <c r="I161" s="10"/>
    </row>
    <row r="162" spans="1:9" x14ac:dyDescent="0.2">
      <c r="A162" s="10">
        <v>16368</v>
      </c>
      <c r="B162" s="11">
        <v>42108</v>
      </c>
      <c r="C162" s="12">
        <v>42.22</v>
      </c>
      <c r="D162" s="12">
        <v>3.22</v>
      </c>
      <c r="E162" s="15" t="s">
        <v>11</v>
      </c>
      <c r="F162" s="21"/>
      <c r="G162" s="22"/>
      <c r="H162" s="10"/>
      <c r="I162" s="10"/>
    </row>
    <row r="163" spans="1:9" x14ac:dyDescent="0.2">
      <c r="A163" s="10">
        <v>16369</v>
      </c>
      <c r="B163" s="11">
        <v>42108</v>
      </c>
      <c r="C163" s="12">
        <v>117.99</v>
      </c>
      <c r="D163" s="12">
        <v>8.99</v>
      </c>
      <c r="E163" s="15" t="s">
        <v>21</v>
      </c>
      <c r="F163" s="21"/>
      <c r="G163" s="22"/>
      <c r="H163" s="10"/>
      <c r="I163" s="10"/>
    </row>
    <row r="164" spans="1:9" x14ac:dyDescent="0.2">
      <c r="A164" s="10">
        <v>16370</v>
      </c>
      <c r="B164" s="11">
        <v>42108</v>
      </c>
      <c r="C164" s="12">
        <v>38.97</v>
      </c>
      <c r="D164" s="12">
        <v>2.97</v>
      </c>
      <c r="E164" s="15" t="s">
        <v>11</v>
      </c>
      <c r="H164" s="10"/>
      <c r="I164" s="10"/>
    </row>
    <row r="165" spans="1:9" x14ac:dyDescent="0.2">
      <c r="A165" s="10">
        <v>16371</v>
      </c>
      <c r="B165" s="11">
        <v>42108</v>
      </c>
      <c r="C165" s="12">
        <v>375.63</v>
      </c>
      <c r="D165" s="12">
        <v>28.63</v>
      </c>
      <c r="E165" s="15"/>
      <c r="H165" s="10"/>
      <c r="I165" s="10"/>
    </row>
    <row r="166" spans="1:9" x14ac:dyDescent="0.2">
      <c r="A166" s="10">
        <v>16372</v>
      </c>
      <c r="B166" s="11">
        <v>42108</v>
      </c>
      <c r="C166" s="12">
        <v>270.08</v>
      </c>
      <c r="D166" s="12">
        <v>20.58</v>
      </c>
      <c r="E166" s="15" t="s">
        <v>318</v>
      </c>
      <c r="F166" s="21"/>
      <c r="G166" s="22"/>
      <c r="H166" s="10"/>
      <c r="I166" s="10"/>
    </row>
    <row r="167" spans="1:9" x14ac:dyDescent="0.2">
      <c r="A167" s="10">
        <v>16373</v>
      </c>
      <c r="B167" s="11">
        <v>42108</v>
      </c>
      <c r="C167" s="12">
        <v>200.8</v>
      </c>
      <c r="D167" s="12">
        <v>15.3</v>
      </c>
      <c r="E167" s="15" t="s">
        <v>7</v>
      </c>
      <c r="H167" s="10"/>
      <c r="I167" s="10"/>
    </row>
    <row r="168" spans="1:9" x14ac:dyDescent="0.2">
      <c r="A168" s="10">
        <v>16374</v>
      </c>
      <c r="B168" s="11">
        <v>42108</v>
      </c>
      <c r="C168" s="12">
        <v>30</v>
      </c>
      <c r="D168" s="12"/>
      <c r="E168" s="15" t="s">
        <v>310</v>
      </c>
      <c r="F168" s="33">
        <f>+C160+C162+C164+130+C167</f>
        <v>467.14000000000004</v>
      </c>
      <c r="G168" s="34">
        <v>460.01</v>
      </c>
      <c r="H168" s="10"/>
      <c r="I168" s="10"/>
    </row>
    <row r="169" spans="1:9" x14ac:dyDescent="0.2">
      <c r="A169" s="10">
        <v>16375</v>
      </c>
      <c r="B169" s="11">
        <v>42109</v>
      </c>
      <c r="C169" s="12">
        <v>19.97</v>
      </c>
      <c r="D169" s="12">
        <v>1.52</v>
      </c>
      <c r="E169" s="17"/>
      <c r="F169" s="18"/>
      <c r="G169" s="19"/>
      <c r="H169" s="12"/>
      <c r="I169" s="10"/>
    </row>
    <row r="170" spans="1:9" x14ac:dyDescent="0.2">
      <c r="A170" s="10">
        <v>16376</v>
      </c>
      <c r="B170" s="11">
        <v>42109</v>
      </c>
      <c r="C170" s="12">
        <v>47.63</v>
      </c>
      <c r="D170" s="12">
        <v>3.63</v>
      </c>
      <c r="E170" s="15" t="s">
        <v>23</v>
      </c>
      <c r="F170" s="21"/>
      <c r="G170" s="22"/>
      <c r="H170" s="10"/>
      <c r="I170" s="10"/>
    </row>
    <row r="171" spans="1:9" x14ac:dyDescent="0.2">
      <c r="A171" s="10">
        <v>16377</v>
      </c>
      <c r="B171" s="11">
        <v>42109</v>
      </c>
      <c r="C171" s="12">
        <v>15.1</v>
      </c>
      <c r="D171" s="12">
        <v>1.1499999999999999</v>
      </c>
      <c r="E171" s="17"/>
      <c r="F171" s="18"/>
      <c r="G171" s="19"/>
      <c r="H171" s="12"/>
      <c r="I171" s="10"/>
    </row>
    <row r="172" spans="1:9" x14ac:dyDescent="0.2">
      <c r="A172" s="10">
        <v>16378</v>
      </c>
      <c r="B172" s="11">
        <v>42109</v>
      </c>
      <c r="C172" s="12">
        <v>208.92</v>
      </c>
      <c r="D172" s="12">
        <v>15.92</v>
      </c>
      <c r="E172" s="13" t="s">
        <v>319</v>
      </c>
      <c r="H172" s="12"/>
      <c r="I172" s="10"/>
    </row>
    <row r="173" spans="1:9" x14ac:dyDescent="0.2">
      <c r="A173" s="10">
        <v>16379</v>
      </c>
      <c r="B173" s="11">
        <v>42109</v>
      </c>
      <c r="C173" s="12">
        <v>14.07</v>
      </c>
      <c r="D173" s="12">
        <v>1.07</v>
      </c>
      <c r="E173" s="17"/>
      <c r="F173" s="18"/>
      <c r="G173" s="19"/>
      <c r="H173" s="12"/>
      <c r="I173" s="10"/>
    </row>
    <row r="174" spans="1:9" x14ac:dyDescent="0.2">
      <c r="A174" s="10">
        <v>16380</v>
      </c>
      <c r="B174" s="11">
        <v>42109</v>
      </c>
      <c r="C174" s="128">
        <v>117.99</v>
      </c>
      <c r="D174" s="12">
        <v>8.99</v>
      </c>
      <c r="E174" s="15" t="s">
        <v>11</v>
      </c>
      <c r="H174" s="10"/>
      <c r="I174" s="10"/>
    </row>
    <row r="175" spans="1:9" x14ac:dyDescent="0.2">
      <c r="A175" s="10">
        <v>16381</v>
      </c>
      <c r="B175" s="11">
        <v>42109</v>
      </c>
      <c r="C175" s="12">
        <v>74.69</v>
      </c>
      <c r="D175" s="12">
        <v>5.69</v>
      </c>
      <c r="E175" s="15" t="s">
        <v>11</v>
      </c>
      <c r="F175" s="21"/>
      <c r="G175" s="22"/>
      <c r="H175" s="10"/>
      <c r="I175" s="10"/>
    </row>
    <row r="176" spans="1:9" x14ac:dyDescent="0.2">
      <c r="A176" s="10">
        <v>16382</v>
      </c>
      <c r="B176" s="11">
        <v>42109</v>
      </c>
      <c r="C176" s="12">
        <v>10.83</v>
      </c>
      <c r="D176" s="12">
        <v>0.83</v>
      </c>
      <c r="E176" s="15" t="s">
        <v>11</v>
      </c>
      <c r="H176" s="10"/>
      <c r="I176" s="10"/>
    </row>
    <row r="177" spans="1:9" x14ac:dyDescent="0.2">
      <c r="A177" s="10">
        <v>16383</v>
      </c>
      <c r="B177" s="11">
        <v>42109</v>
      </c>
      <c r="C177" s="12">
        <v>18.349999999999998</v>
      </c>
      <c r="D177" s="12">
        <v>1.4</v>
      </c>
      <c r="E177" s="15" t="s">
        <v>11</v>
      </c>
      <c r="F177" s="21"/>
      <c r="G177" s="22"/>
      <c r="H177" s="10"/>
      <c r="I177" s="10"/>
    </row>
    <row r="178" spans="1:9" x14ac:dyDescent="0.2">
      <c r="A178" s="10">
        <v>16384</v>
      </c>
      <c r="B178" s="11">
        <v>42109</v>
      </c>
      <c r="C178" s="12">
        <v>18</v>
      </c>
      <c r="D178" s="12"/>
      <c r="E178" s="13" t="s">
        <v>310</v>
      </c>
      <c r="H178" s="12"/>
      <c r="I178" s="10"/>
    </row>
    <row r="179" spans="1:9" x14ac:dyDescent="0.2">
      <c r="A179" s="10">
        <v>16385</v>
      </c>
      <c r="B179" s="11">
        <v>42109</v>
      </c>
      <c r="C179" s="12">
        <v>68</v>
      </c>
      <c r="D179" s="12">
        <v>5.18</v>
      </c>
      <c r="E179" s="15" t="s">
        <v>21</v>
      </c>
      <c r="H179" s="10"/>
      <c r="I179" s="10"/>
    </row>
    <row r="180" spans="1:9" x14ac:dyDescent="0.2">
      <c r="A180" s="10">
        <v>16386</v>
      </c>
      <c r="B180" s="11">
        <v>42109</v>
      </c>
      <c r="C180" s="12">
        <v>36.75</v>
      </c>
      <c r="D180" s="12">
        <v>2.8</v>
      </c>
      <c r="E180" s="17"/>
      <c r="F180" s="18"/>
      <c r="G180" s="19"/>
      <c r="H180" s="12"/>
      <c r="I180" s="10"/>
    </row>
    <row r="181" spans="1:9" x14ac:dyDescent="0.2">
      <c r="A181" s="10">
        <v>16387</v>
      </c>
      <c r="B181" s="11">
        <v>42109</v>
      </c>
      <c r="C181" s="12">
        <v>7.5200000000000005</v>
      </c>
      <c r="D181" s="12">
        <v>0.56999999999999995</v>
      </c>
      <c r="E181" s="17"/>
      <c r="H181" s="12"/>
      <c r="I181" s="10"/>
    </row>
    <row r="182" spans="1:9" x14ac:dyDescent="0.2">
      <c r="A182" s="10">
        <v>16388</v>
      </c>
      <c r="B182" s="11">
        <v>42109</v>
      </c>
      <c r="C182" s="12">
        <v>11.85</v>
      </c>
      <c r="D182" s="12">
        <v>0.9</v>
      </c>
      <c r="E182" s="17"/>
      <c r="H182" s="12"/>
      <c r="I182" s="10"/>
    </row>
    <row r="183" spans="1:9" x14ac:dyDescent="0.2">
      <c r="A183" s="10">
        <v>16388</v>
      </c>
      <c r="B183" s="11">
        <v>42109</v>
      </c>
      <c r="C183" s="12">
        <v>260.88249999999999</v>
      </c>
      <c r="D183" s="12">
        <v>19.8825</v>
      </c>
      <c r="E183" s="15" t="s">
        <v>320</v>
      </c>
      <c r="H183" s="10"/>
      <c r="I183" s="10"/>
    </row>
    <row r="184" spans="1:9" x14ac:dyDescent="0.2">
      <c r="A184" s="10">
        <v>16389</v>
      </c>
      <c r="B184" s="11">
        <v>42109</v>
      </c>
      <c r="C184" s="12">
        <v>70</v>
      </c>
      <c r="D184" s="12"/>
      <c r="E184" s="15" t="s">
        <v>321</v>
      </c>
      <c r="F184" s="33">
        <f>+C170+C174+C176+C175+C177+80+121.24</f>
        <v>470.73</v>
      </c>
      <c r="G184" s="34">
        <v>467.21</v>
      </c>
      <c r="H184" s="10"/>
      <c r="I184" s="10"/>
    </row>
    <row r="185" spans="1:9" x14ac:dyDescent="0.2">
      <c r="A185" s="10">
        <v>16390</v>
      </c>
      <c r="B185" s="11">
        <v>42110</v>
      </c>
      <c r="C185" s="128">
        <v>260.88</v>
      </c>
      <c r="D185" s="12">
        <v>19.88</v>
      </c>
      <c r="E185" s="15" t="s">
        <v>23</v>
      </c>
      <c r="F185" s="21"/>
      <c r="G185" s="22"/>
      <c r="H185" s="10"/>
      <c r="I185" s="10"/>
    </row>
    <row r="186" spans="1:9" x14ac:dyDescent="0.2">
      <c r="A186" s="10">
        <v>16391</v>
      </c>
      <c r="B186" s="11">
        <v>42110</v>
      </c>
      <c r="C186" s="128">
        <v>48.660000000000004</v>
      </c>
      <c r="D186" s="12">
        <v>3.71</v>
      </c>
      <c r="E186" s="15" t="s">
        <v>23</v>
      </c>
      <c r="F186" s="21"/>
      <c r="G186" s="22"/>
      <c r="H186" s="10"/>
      <c r="I186" s="10"/>
    </row>
    <row r="187" spans="1:9" x14ac:dyDescent="0.2">
      <c r="A187" s="10">
        <v>16392</v>
      </c>
      <c r="B187" s="11">
        <v>42110</v>
      </c>
      <c r="C187" s="128">
        <v>41.03</v>
      </c>
      <c r="D187" s="12">
        <v>3.13</v>
      </c>
      <c r="E187" s="15" t="s">
        <v>23</v>
      </c>
      <c r="F187" s="21"/>
      <c r="G187" s="22"/>
      <c r="H187" s="10"/>
      <c r="I187" s="10"/>
    </row>
    <row r="188" spans="1:9" x14ac:dyDescent="0.2">
      <c r="A188" s="10">
        <v>16393</v>
      </c>
      <c r="B188" s="11">
        <v>42110</v>
      </c>
      <c r="C188" s="128">
        <v>11.85</v>
      </c>
      <c r="D188" s="12">
        <v>0.9</v>
      </c>
      <c r="E188" s="15" t="s">
        <v>11</v>
      </c>
      <c r="F188" s="21"/>
      <c r="G188" s="22"/>
      <c r="H188" s="10"/>
      <c r="I188" s="10"/>
    </row>
    <row r="189" spans="1:9" x14ac:dyDescent="0.2">
      <c r="A189" s="10">
        <v>16394</v>
      </c>
      <c r="B189" s="11">
        <v>42110</v>
      </c>
      <c r="C189" s="128">
        <v>396.2</v>
      </c>
      <c r="D189" s="12">
        <v>30.2</v>
      </c>
      <c r="E189" s="15" t="s">
        <v>11</v>
      </c>
      <c r="F189" s="21"/>
      <c r="G189" s="22"/>
      <c r="H189" s="10"/>
      <c r="I189" s="10"/>
    </row>
    <row r="190" spans="1:9" x14ac:dyDescent="0.2">
      <c r="A190" s="10">
        <v>16395</v>
      </c>
      <c r="B190" s="11">
        <v>42110</v>
      </c>
      <c r="C190" s="12"/>
      <c r="D190" s="12"/>
      <c r="E190" s="15" t="s">
        <v>322</v>
      </c>
      <c r="F190" s="21"/>
      <c r="G190" s="22"/>
      <c r="H190" s="10"/>
      <c r="I190" s="10"/>
    </row>
    <row r="191" spans="1:9" x14ac:dyDescent="0.2">
      <c r="A191" s="10">
        <v>16396</v>
      </c>
      <c r="B191" s="11">
        <v>42110</v>
      </c>
      <c r="C191" s="12">
        <v>44</v>
      </c>
      <c r="D191" s="12">
        <v>3.35</v>
      </c>
      <c r="E191" s="13"/>
      <c r="F191" s="18"/>
      <c r="G191" s="19"/>
      <c r="H191" s="12"/>
      <c r="I191" s="10"/>
    </row>
    <row r="192" spans="1:9" x14ac:dyDescent="0.2">
      <c r="A192" s="10">
        <v>16397</v>
      </c>
      <c r="B192" s="11">
        <v>42110</v>
      </c>
      <c r="C192" s="128">
        <v>28.15</v>
      </c>
      <c r="D192" s="12">
        <v>2.15</v>
      </c>
      <c r="E192" s="15" t="s">
        <v>11</v>
      </c>
      <c r="F192" s="21"/>
      <c r="G192" s="22"/>
      <c r="H192" s="10"/>
      <c r="I192" s="10"/>
    </row>
    <row r="193" spans="1:9" x14ac:dyDescent="0.2">
      <c r="A193" s="10">
        <v>16398</v>
      </c>
      <c r="B193" s="11">
        <v>42110</v>
      </c>
      <c r="C193" s="128">
        <v>163.39999999999998</v>
      </c>
      <c r="D193" s="12">
        <v>12.45</v>
      </c>
      <c r="E193" s="15" t="s">
        <v>23</v>
      </c>
      <c r="F193" s="45">
        <f>+C185+C186+C187+C188+C189+C190+C192+C174+C113</f>
        <v>1349.45</v>
      </c>
      <c r="G193" s="123">
        <f>+F193*0.97831</f>
        <v>1320.1804295000002</v>
      </c>
      <c r="H193" s="10">
        <v>1394.86</v>
      </c>
      <c r="I193" s="129" t="s">
        <v>323</v>
      </c>
    </row>
    <row r="194" spans="1:9" x14ac:dyDescent="0.2">
      <c r="A194" s="10">
        <v>16399</v>
      </c>
      <c r="B194" s="11">
        <v>42111</v>
      </c>
      <c r="C194" s="12">
        <v>29</v>
      </c>
      <c r="D194" s="12">
        <v>2.21</v>
      </c>
      <c r="E194" s="13"/>
      <c r="F194" s="18"/>
      <c r="G194" s="19"/>
      <c r="H194" s="12"/>
    </row>
    <row r="195" spans="1:9" x14ac:dyDescent="0.2">
      <c r="A195" s="10">
        <v>16400</v>
      </c>
      <c r="B195" s="11">
        <v>42111</v>
      </c>
      <c r="C195" s="128">
        <v>48.660000000000004</v>
      </c>
      <c r="D195" s="12">
        <v>3.71</v>
      </c>
      <c r="E195" s="15" t="s">
        <v>11</v>
      </c>
      <c r="F195" s="21"/>
      <c r="G195" s="22"/>
      <c r="H195" s="10"/>
    </row>
    <row r="196" spans="1:9" x14ac:dyDescent="0.2">
      <c r="A196" s="10">
        <v>16401</v>
      </c>
      <c r="B196" s="11">
        <v>42111</v>
      </c>
      <c r="C196" s="12">
        <v>11.94</v>
      </c>
      <c r="D196" s="12">
        <v>0.91</v>
      </c>
      <c r="E196" s="13"/>
      <c r="F196" s="18"/>
      <c r="G196" s="19"/>
      <c r="H196" s="12"/>
    </row>
    <row r="197" spans="1:9" x14ac:dyDescent="0.2">
      <c r="A197" s="10">
        <v>16402</v>
      </c>
      <c r="B197" s="11">
        <v>42111</v>
      </c>
      <c r="C197" s="12">
        <v>32.42</v>
      </c>
      <c r="D197" s="12">
        <v>2.4700000000000002</v>
      </c>
      <c r="E197" s="13"/>
      <c r="F197" s="18"/>
      <c r="G197" s="19"/>
      <c r="H197" s="12"/>
    </row>
    <row r="198" spans="1:9" x14ac:dyDescent="0.2">
      <c r="A198" s="10">
        <v>16403</v>
      </c>
      <c r="B198" s="11">
        <v>42111</v>
      </c>
      <c r="C198" s="12">
        <v>15</v>
      </c>
      <c r="D198" s="12">
        <v>1.1399999999999999</v>
      </c>
      <c r="E198" s="13"/>
      <c r="F198" s="18"/>
      <c r="G198" s="19"/>
      <c r="H198" s="12"/>
    </row>
    <row r="199" spans="1:9" x14ac:dyDescent="0.2">
      <c r="A199" s="10">
        <v>16404</v>
      </c>
      <c r="B199" s="11">
        <v>42111</v>
      </c>
      <c r="C199" s="12">
        <v>119.08</v>
      </c>
      <c r="D199" s="12">
        <v>9.08</v>
      </c>
      <c r="E199" s="13"/>
      <c r="F199" s="45">
        <f>+C195</f>
        <v>48.660000000000004</v>
      </c>
      <c r="G199" s="123">
        <f>+F199*0.97831</f>
        <v>47.604564600000003</v>
      </c>
      <c r="H199" s="12">
        <v>210.98</v>
      </c>
      <c r="I199" s="129" t="s">
        <v>324</v>
      </c>
    </row>
    <row r="200" spans="1:9" x14ac:dyDescent="0.2">
      <c r="A200" s="10">
        <v>16405</v>
      </c>
      <c r="B200" s="11">
        <v>42112</v>
      </c>
      <c r="C200" s="128">
        <v>46.49</v>
      </c>
      <c r="D200" s="12">
        <v>3.54</v>
      </c>
      <c r="E200" s="15" t="s">
        <v>11</v>
      </c>
      <c r="F200" s="21"/>
      <c r="G200" s="22"/>
      <c r="H200" s="10"/>
    </row>
    <row r="201" spans="1:9" x14ac:dyDescent="0.2">
      <c r="A201" s="10">
        <v>16406</v>
      </c>
      <c r="B201" s="11">
        <v>42112</v>
      </c>
      <c r="C201" s="12">
        <v>13</v>
      </c>
      <c r="D201" s="12">
        <v>0.99</v>
      </c>
      <c r="E201" s="13"/>
      <c r="F201" s="18"/>
      <c r="G201" s="19"/>
      <c r="H201" s="12"/>
    </row>
    <row r="202" spans="1:9" x14ac:dyDescent="0.2">
      <c r="A202" s="10">
        <v>16407</v>
      </c>
      <c r="B202" s="11">
        <v>42112</v>
      </c>
      <c r="C202" s="128">
        <v>530.42999999999995</v>
      </c>
      <c r="D202" s="12">
        <v>40.43</v>
      </c>
      <c r="E202" s="15" t="s">
        <v>325</v>
      </c>
      <c r="F202" s="21"/>
      <c r="G202" s="22"/>
      <c r="H202" s="10"/>
    </row>
    <row r="203" spans="1:9" x14ac:dyDescent="0.2">
      <c r="A203" s="10">
        <v>16408</v>
      </c>
      <c r="B203" s="11">
        <v>42112</v>
      </c>
      <c r="C203" s="128">
        <v>363.72</v>
      </c>
      <c r="D203" s="12">
        <v>27.72</v>
      </c>
      <c r="E203" s="15" t="s">
        <v>326</v>
      </c>
      <c r="F203" s="45">
        <f>+C200+280+C203</f>
        <v>690.21</v>
      </c>
      <c r="G203" s="123">
        <f>+F203*0.97831</f>
        <v>675.23934510000004</v>
      </c>
      <c r="H203" s="10">
        <v>643.73</v>
      </c>
      <c r="I203" s="129" t="s">
        <v>327</v>
      </c>
    </row>
    <row r="204" spans="1:9" x14ac:dyDescent="0.2">
      <c r="A204" s="10">
        <v>16409</v>
      </c>
      <c r="B204" s="11">
        <v>42111</v>
      </c>
      <c r="C204" s="18">
        <v>220.00000000000003</v>
      </c>
      <c r="D204" s="12">
        <v>16.77</v>
      </c>
      <c r="E204" s="15" t="s">
        <v>328</v>
      </c>
      <c r="F204" s="21"/>
      <c r="G204" s="22"/>
      <c r="H204" s="10"/>
      <c r="I204" s="10"/>
    </row>
    <row r="205" spans="1:9" x14ac:dyDescent="0.2">
      <c r="A205" s="10">
        <v>16410</v>
      </c>
      <c r="B205" s="11">
        <v>42111</v>
      </c>
      <c r="C205" s="18">
        <v>415.01</v>
      </c>
      <c r="D205" s="12">
        <v>31.63</v>
      </c>
      <c r="E205" s="17"/>
      <c r="F205" s="18"/>
      <c r="G205" s="19"/>
      <c r="H205" s="12"/>
    </row>
    <row r="206" spans="1:9" x14ac:dyDescent="0.2">
      <c r="A206" s="10">
        <v>16411</v>
      </c>
      <c r="B206" s="11">
        <v>42111</v>
      </c>
      <c r="C206" s="18">
        <v>130</v>
      </c>
      <c r="D206" s="12">
        <v>9.91</v>
      </c>
      <c r="E206" s="15" t="s">
        <v>328</v>
      </c>
      <c r="F206" s="21"/>
      <c r="G206" s="22"/>
      <c r="H206" s="12"/>
      <c r="I206" s="10"/>
    </row>
    <row r="207" spans="1:9" x14ac:dyDescent="0.2">
      <c r="A207" s="10">
        <v>16412</v>
      </c>
      <c r="B207" s="11">
        <v>42112</v>
      </c>
      <c r="C207" s="18">
        <v>65.004125000000002</v>
      </c>
      <c r="D207" s="12">
        <v>4.9541250000000003</v>
      </c>
      <c r="E207" s="15" t="s">
        <v>328</v>
      </c>
      <c r="F207" s="21"/>
      <c r="G207" s="22"/>
      <c r="H207" s="10"/>
    </row>
    <row r="208" spans="1:9" x14ac:dyDescent="0.2">
      <c r="A208" s="10">
        <v>16413</v>
      </c>
      <c r="B208" s="11">
        <v>42112</v>
      </c>
      <c r="C208" s="18">
        <v>220.00000000000003</v>
      </c>
      <c r="D208" s="12">
        <v>16.77</v>
      </c>
      <c r="E208" s="15" t="s">
        <v>328</v>
      </c>
      <c r="F208" s="21"/>
      <c r="G208" s="22"/>
      <c r="H208" s="12"/>
    </row>
    <row r="209" spans="1:9" x14ac:dyDescent="0.2">
      <c r="A209" s="10">
        <v>16414</v>
      </c>
      <c r="B209" s="11">
        <v>42112</v>
      </c>
      <c r="C209" s="18">
        <v>355.01</v>
      </c>
      <c r="D209" s="12">
        <v>27.06</v>
      </c>
      <c r="E209" s="17"/>
      <c r="F209" s="34">
        <f>+C208+C207+C206+C204</f>
        <v>635.00412500000004</v>
      </c>
      <c r="G209" s="130" t="s">
        <v>329</v>
      </c>
      <c r="H209" s="12"/>
    </row>
    <row r="210" spans="1:9" x14ac:dyDescent="0.2">
      <c r="A210" s="10">
        <v>16415</v>
      </c>
      <c r="B210" s="11">
        <v>42114</v>
      </c>
      <c r="C210" s="12">
        <v>46.49</v>
      </c>
      <c r="D210" s="12">
        <v>3.54</v>
      </c>
      <c r="E210" s="15" t="s">
        <v>11</v>
      </c>
      <c r="F210" s="21"/>
      <c r="G210" s="22"/>
      <c r="H210" s="10"/>
    </row>
    <row r="211" spans="1:9" x14ac:dyDescent="0.2">
      <c r="A211" s="10">
        <v>16416</v>
      </c>
      <c r="B211" s="11">
        <v>42114</v>
      </c>
      <c r="C211" s="12">
        <v>173</v>
      </c>
      <c r="D211" s="12"/>
      <c r="E211" s="17"/>
      <c r="F211" s="115"/>
      <c r="G211" s="115"/>
      <c r="H211" s="10"/>
    </row>
    <row r="212" spans="1:9" x14ac:dyDescent="0.2">
      <c r="A212" s="10">
        <v>16417</v>
      </c>
      <c r="B212" s="11">
        <v>42114</v>
      </c>
      <c r="C212" s="18">
        <v>2.71</v>
      </c>
      <c r="D212" s="12">
        <v>0.21</v>
      </c>
      <c r="E212" s="17"/>
      <c r="F212" s="18"/>
      <c r="G212" s="19"/>
      <c r="H212" s="12"/>
    </row>
    <row r="213" spans="1:9" x14ac:dyDescent="0.2">
      <c r="A213" s="10">
        <v>16418</v>
      </c>
      <c r="B213" s="11">
        <v>42114</v>
      </c>
      <c r="C213" s="18">
        <v>98.51</v>
      </c>
      <c r="D213" s="12">
        <v>7.51</v>
      </c>
      <c r="E213" s="17"/>
      <c r="H213" s="12"/>
    </row>
    <row r="214" spans="1:9" x14ac:dyDescent="0.2">
      <c r="A214" s="10">
        <v>16419</v>
      </c>
      <c r="B214" s="11">
        <v>42114</v>
      </c>
      <c r="C214" s="18">
        <v>283.62</v>
      </c>
      <c r="D214" s="12">
        <v>21.62</v>
      </c>
      <c r="E214" s="15" t="s">
        <v>11</v>
      </c>
      <c r="F214" s="21"/>
      <c r="G214" s="22"/>
      <c r="H214" s="10"/>
    </row>
    <row r="215" spans="1:9" x14ac:dyDescent="0.2">
      <c r="A215" s="10">
        <v>16420</v>
      </c>
      <c r="B215" s="11">
        <v>42114</v>
      </c>
      <c r="C215" s="18">
        <v>105</v>
      </c>
      <c r="D215" s="12">
        <v>8</v>
      </c>
      <c r="E215" s="15" t="s">
        <v>11</v>
      </c>
      <c r="H215" s="12"/>
    </row>
    <row r="216" spans="1:9" x14ac:dyDescent="0.2">
      <c r="A216" s="10">
        <v>16421</v>
      </c>
      <c r="B216" s="11">
        <v>42114</v>
      </c>
      <c r="C216" s="18">
        <v>154.26</v>
      </c>
      <c r="D216" s="12">
        <v>11.76</v>
      </c>
      <c r="E216" s="15" t="s">
        <v>11</v>
      </c>
      <c r="H216" s="10"/>
      <c r="I216" s="10"/>
    </row>
    <row r="217" spans="1:9" x14ac:dyDescent="0.2">
      <c r="A217" s="10">
        <v>16422</v>
      </c>
      <c r="B217" s="11">
        <v>42114</v>
      </c>
      <c r="C217" s="18">
        <v>35.72</v>
      </c>
      <c r="D217" s="12">
        <v>2.72</v>
      </c>
      <c r="E217" s="17"/>
      <c r="H217" s="12"/>
      <c r="I217" s="10"/>
    </row>
    <row r="218" spans="1:9" x14ac:dyDescent="0.2">
      <c r="A218" s="10">
        <v>16423</v>
      </c>
      <c r="B218" s="11">
        <v>42114</v>
      </c>
      <c r="C218" s="18">
        <v>11.91</v>
      </c>
      <c r="D218" s="12">
        <v>0.91</v>
      </c>
      <c r="E218" s="15" t="s">
        <v>11</v>
      </c>
      <c r="F218" s="33">
        <f>+C210+C214+C215+C216+C218</f>
        <v>601.28</v>
      </c>
      <c r="G218" s="34">
        <v>596.27</v>
      </c>
      <c r="H218" s="10"/>
      <c r="I218" s="10"/>
    </row>
    <row r="219" spans="1:9" x14ac:dyDescent="0.2">
      <c r="A219" s="10">
        <v>16424</v>
      </c>
      <c r="B219" s="11">
        <v>42115</v>
      </c>
      <c r="C219" s="18">
        <v>216.5</v>
      </c>
      <c r="D219" s="12">
        <v>16.5</v>
      </c>
      <c r="E219" s="15" t="s">
        <v>7</v>
      </c>
      <c r="F219" s="21"/>
      <c r="G219" s="22"/>
      <c r="H219" s="10"/>
      <c r="I219" s="10"/>
    </row>
    <row r="220" spans="1:9" x14ac:dyDescent="0.2">
      <c r="A220" s="10">
        <v>16425</v>
      </c>
      <c r="B220" s="11">
        <v>42115</v>
      </c>
      <c r="C220" s="18">
        <v>1057.5999999999999</v>
      </c>
      <c r="D220" s="12">
        <v>80.599999999999994</v>
      </c>
      <c r="E220" s="15" t="s">
        <v>330</v>
      </c>
      <c r="H220" s="10"/>
      <c r="I220" s="10"/>
    </row>
    <row r="221" spans="1:9" x14ac:dyDescent="0.2">
      <c r="A221" s="10">
        <v>16426</v>
      </c>
      <c r="B221" s="11">
        <v>42115</v>
      </c>
      <c r="C221" s="18">
        <v>0</v>
      </c>
      <c r="D221" s="12">
        <v>0</v>
      </c>
      <c r="E221" s="15" t="s">
        <v>331</v>
      </c>
      <c r="H221" s="10"/>
      <c r="I221" s="10"/>
    </row>
    <row r="222" spans="1:9" x14ac:dyDescent="0.2">
      <c r="A222" s="10">
        <v>16427</v>
      </c>
      <c r="B222" s="11">
        <v>42115</v>
      </c>
      <c r="C222" s="18">
        <v>421.09000000000003</v>
      </c>
      <c r="D222" s="12">
        <v>32.090000000000003</v>
      </c>
      <c r="E222" s="15" t="s">
        <v>11</v>
      </c>
      <c r="H222" s="10"/>
      <c r="I222" s="10"/>
    </row>
    <row r="223" spans="1:9" x14ac:dyDescent="0.2">
      <c r="A223" s="10">
        <v>16428</v>
      </c>
      <c r="B223" s="11">
        <v>42115</v>
      </c>
      <c r="C223" s="18">
        <v>11.85</v>
      </c>
      <c r="D223" s="12">
        <v>0.9</v>
      </c>
      <c r="E223" s="17"/>
      <c r="F223" s="18"/>
      <c r="G223" s="19"/>
      <c r="H223" s="12"/>
      <c r="I223" s="10"/>
    </row>
    <row r="224" spans="1:9" x14ac:dyDescent="0.2">
      <c r="A224" s="10">
        <v>16429</v>
      </c>
      <c r="B224" s="11">
        <v>42115</v>
      </c>
      <c r="C224" s="18">
        <v>75.78</v>
      </c>
      <c r="D224" s="12">
        <v>5.78</v>
      </c>
      <c r="E224" s="17"/>
      <c r="F224" s="18"/>
      <c r="G224" s="19"/>
      <c r="H224" s="12"/>
      <c r="I224" s="10"/>
    </row>
    <row r="225" spans="1:9" x14ac:dyDescent="0.2">
      <c r="A225" s="10">
        <v>16430</v>
      </c>
      <c r="B225" s="11">
        <v>42115</v>
      </c>
      <c r="C225" s="18">
        <v>11</v>
      </c>
      <c r="D225" s="12">
        <v>0.84</v>
      </c>
      <c r="E225" s="17"/>
      <c r="H225" s="12"/>
      <c r="I225" s="10"/>
    </row>
    <row r="226" spans="1:9" x14ac:dyDescent="0.2">
      <c r="A226" s="10">
        <v>16431</v>
      </c>
      <c r="B226" s="11">
        <v>42115</v>
      </c>
      <c r="C226" s="18">
        <v>15</v>
      </c>
      <c r="D226" s="12"/>
      <c r="E226" s="13" t="s">
        <v>253</v>
      </c>
      <c r="H226" s="12"/>
      <c r="I226" s="10"/>
    </row>
    <row r="227" spans="1:9" x14ac:dyDescent="0.2">
      <c r="A227" s="10">
        <v>16432</v>
      </c>
      <c r="B227" s="11">
        <v>42115</v>
      </c>
      <c r="C227" s="18">
        <v>173.2</v>
      </c>
      <c r="D227" s="12">
        <v>13.2</v>
      </c>
      <c r="E227" s="15" t="s">
        <v>11</v>
      </c>
      <c r="H227" s="10"/>
      <c r="I227" s="10"/>
    </row>
    <row r="228" spans="1:9" x14ac:dyDescent="0.2">
      <c r="A228" s="10">
        <v>16433</v>
      </c>
      <c r="B228" s="11">
        <v>42115</v>
      </c>
      <c r="C228" s="18">
        <v>49.8</v>
      </c>
      <c r="D228" s="12">
        <v>3.8</v>
      </c>
      <c r="E228" s="15" t="s">
        <v>11</v>
      </c>
      <c r="H228" s="10"/>
      <c r="I228" s="10"/>
    </row>
    <row r="229" spans="1:9" x14ac:dyDescent="0.2">
      <c r="A229" s="10">
        <v>16434</v>
      </c>
      <c r="B229" s="11">
        <v>42115</v>
      </c>
      <c r="C229" s="18">
        <v>151.55000000000001</v>
      </c>
      <c r="D229" s="12">
        <v>11.55</v>
      </c>
      <c r="E229" s="13" t="s">
        <v>332</v>
      </c>
      <c r="F229" s="18"/>
      <c r="G229" s="19"/>
      <c r="H229" s="12"/>
      <c r="I229" s="10"/>
    </row>
    <row r="230" spans="1:9" x14ac:dyDescent="0.2">
      <c r="A230" s="10">
        <v>16435</v>
      </c>
      <c r="B230" s="11">
        <v>42115</v>
      </c>
      <c r="C230" s="18">
        <v>64.95</v>
      </c>
      <c r="D230" s="12">
        <v>4.95</v>
      </c>
      <c r="E230" s="15" t="s">
        <v>11</v>
      </c>
      <c r="H230" s="10"/>
      <c r="I230" s="10"/>
    </row>
    <row r="231" spans="1:9" x14ac:dyDescent="0.2">
      <c r="A231" s="10">
        <v>16436</v>
      </c>
      <c r="B231" s="11">
        <v>42115</v>
      </c>
      <c r="C231" s="18">
        <v>235.71437499999999</v>
      </c>
      <c r="D231" s="12">
        <v>17.964375</v>
      </c>
      <c r="E231" s="15" t="s">
        <v>333</v>
      </c>
      <c r="H231" s="10"/>
      <c r="I231" s="10"/>
    </row>
    <row r="232" spans="1:9" x14ac:dyDescent="0.2">
      <c r="A232" s="10">
        <v>16437</v>
      </c>
      <c r="B232" s="11">
        <v>42115</v>
      </c>
      <c r="C232" s="18">
        <v>64.41</v>
      </c>
      <c r="D232" s="12">
        <v>4.91</v>
      </c>
      <c r="E232" s="15" t="s">
        <v>11</v>
      </c>
      <c r="F232" s="42">
        <f>+C219+225+C227+C228+100+C232</f>
        <v>828.91</v>
      </c>
      <c r="G232" s="19">
        <f>+F232*0.97831</f>
        <v>810.93094209999992</v>
      </c>
      <c r="H232" s="10"/>
      <c r="I232" s="10"/>
    </row>
    <row r="233" spans="1:9" x14ac:dyDescent="0.2">
      <c r="A233" s="10">
        <v>16438</v>
      </c>
      <c r="B233" s="11">
        <v>42116</v>
      </c>
      <c r="C233" s="18">
        <v>31</v>
      </c>
      <c r="D233" s="12"/>
      <c r="E233" s="13" t="s">
        <v>69</v>
      </c>
      <c r="F233" s="18"/>
      <c r="G233" s="19"/>
      <c r="H233" s="12"/>
      <c r="I233" s="10"/>
    </row>
    <row r="234" spans="1:9" x14ac:dyDescent="0.2">
      <c r="A234" s="10">
        <v>16439</v>
      </c>
      <c r="B234" s="11">
        <v>42116</v>
      </c>
      <c r="C234" s="18">
        <v>108.25</v>
      </c>
      <c r="D234" s="12">
        <v>8.25</v>
      </c>
      <c r="E234" s="15" t="s">
        <v>7</v>
      </c>
      <c r="F234" s="21"/>
      <c r="G234" s="22"/>
      <c r="H234" s="10"/>
      <c r="I234" s="10"/>
    </row>
    <row r="235" spans="1:9" x14ac:dyDescent="0.2">
      <c r="A235" s="10">
        <v>16440</v>
      </c>
      <c r="B235" s="11">
        <v>42116</v>
      </c>
      <c r="C235" s="18">
        <v>49.8</v>
      </c>
      <c r="D235" s="12">
        <v>3.8</v>
      </c>
      <c r="E235" s="15" t="s">
        <v>7</v>
      </c>
      <c r="F235" s="21"/>
      <c r="G235" s="22"/>
      <c r="H235" s="10"/>
      <c r="I235" s="10"/>
    </row>
    <row r="236" spans="1:9" x14ac:dyDescent="0.2">
      <c r="A236" s="10">
        <v>16441</v>
      </c>
      <c r="B236" s="11">
        <v>42116</v>
      </c>
      <c r="C236" s="18">
        <v>74.69</v>
      </c>
      <c r="D236" s="12">
        <v>5.69</v>
      </c>
      <c r="E236" s="15" t="s">
        <v>11</v>
      </c>
      <c r="F236" s="21"/>
      <c r="G236" s="22"/>
      <c r="H236" s="10"/>
      <c r="I236" s="10"/>
    </row>
    <row r="237" spans="1:9" x14ac:dyDescent="0.2">
      <c r="A237" s="10">
        <v>16442</v>
      </c>
      <c r="B237" s="11">
        <v>42116</v>
      </c>
      <c r="C237" s="18">
        <v>92.01</v>
      </c>
      <c r="D237" s="12">
        <v>7.01</v>
      </c>
      <c r="E237" s="15" t="s">
        <v>11</v>
      </c>
      <c r="H237" s="10">
        <v>1453.13</v>
      </c>
      <c r="I237" s="10"/>
    </row>
    <row r="238" spans="1:9" x14ac:dyDescent="0.2">
      <c r="A238" s="10">
        <v>16443</v>
      </c>
      <c r="B238" s="11">
        <v>42116</v>
      </c>
      <c r="C238" s="18">
        <v>24.9</v>
      </c>
      <c r="D238" s="12">
        <v>1.9</v>
      </c>
      <c r="E238" s="17"/>
      <c r="H238" s="12"/>
      <c r="I238" s="10"/>
    </row>
    <row r="239" spans="1:9" x14ac:dyDescent="0.2">
      <c r="A239" s="10">
        <v>16444</v>
      </c>
      <c r="B239" s="11">
        <v>42116</v>
      </c>
      <c r="C239" s="18">
        <v>188.29999999999998</v>
      </c>
      <c r="D239" s="12">
        <v>14.35</v>
      </c>
      <c r="E239" s="15" t="s">
        <v>11</v>
      </c>
      <c r="H239" s="10"/>
      <c r="I239" s="10"/>
    </row>
    <row r="240" spans="1:9" x14ac:dyDescent="0.2">
      <c r="A240" s="10">
        <v>16445</v>
      </c>
      <c r="B240" s="11">
        <v>42116</v>
      </c>
      <c r="C240" s="18">
        <v>231.11</v>
      </c>
      <c r="D240" s="12">
        <v>17.61</v>
      </c>
      <c r="E240" s="15"/>
      <c r="H240" s="10"/>
      <c r="I240" s="10"/>
    </row>
    <row r="241" spans="1:9" x14ac:dyDescent="0.2">
      <c r="A241" s="10">
        <v>16446</v>
      </c>
      <c r="B241" s="11">
        <v>42116</v>
      </c>
      <c r="C241" s="18">
        <v>18.349999999999998</v>
      </c>
      <c r="D241" s="12">
        <v>1.4</v>
      </c>
      <c r="E241" s="15" t="s">
        <v>11</v>
      </c>
      <c r="H241" s="10"/>
      <c r="I241" s="10"/>
    </row>
    <row r="242" spans="1:9" x14ac:dyDescent="0.2">
      <c r="A242" s="10">
        <v>16447</v>
      </c>
      <c r="B242" s="11">
        <v>42116</v>
      </c>
      <c r="C242" s="18">
        <v>345.32</v>
      </c>
      <c r="D242" s="12">
        <v>26.32</v>
      </c>
      <c r="E242" s="13" t="s">
        <v>334</v>
      </c>
      <c r="F242" s="18"/>
      <c r="G242" s="19"/>
      <c r="H242" s="12"/>
      <c r="I242" s="10"/>
    </row>
    <row r="243" spans="1:9" x14ac:dyDescent="0.2">
      <c r="A243" s="10">
        <v>16448</v>
      </c>
      <c r="B243" s="11">
        <v>42116</v>
      </c>
      <c r="C243" s="18">
        <v>20.57</v>
      </c>
      <c r="D243" s="12">
        <v>1.57</v>
      </c>
      <c r="E243" s="15" t="s">
        <v>11</v>
      </c>
      <c r="H243" s="10"/>
      <c r="I243" s="10"/>
    </row>
    <row r="244" spans="1:9" x14ac:dyDescent="0.2">
      <c r="A244" s="10">
        <v>16449</v>
      </c>
      <c r="B244" s="11">
        <v>42116</v>
      </c>
      <c r="C244" s="18">
        <v>155.12</v>
      </c>
      <c r="D244" s="12">
        <v>11.82</v>
      </c>
      <c r="E244" s="17"/>
      <c r="F244" s="42">
        <f>+C234+C235+C236+C241+C243+C239</f>
        <v>459.96000000000004</v>
      </c>
      <c r="G244" s="19">
        <f>+F244*0.97831</f>
        <v>449.98346760000004</v>
      </c>
      <c r="H244" s="12"/>
      <c r="I244" s="10"/>
    </row>
    <row r="245" spans="1:9" x14ac:dyDescent="0.2">
      <c r="A245" s="10">
        <v>16450</v>
      </c>
      <c r="B245" s="11">
        <v>42116</v>
      </c>
      <c r="C245" s="18">
        <v>18.399999999999999</v>
      </c>
      <c r="D245" s="12">
        <v>1.4</v>
      </c>
      <c r="E245" s="17"/>
      <c r="F245" s="18"/>
      <c r="G245" s="19"/>
      <c r="H245" s="12"/>
      <c r="I245" s="10"/>
    </row>
    <row r="246" spans="1:9" x14ac:dyDescent="0.2">
      <c r="A246" s="10">
        <v>16451</v>
      </c>
      <c r="B246" s="11">
        <v>42117</v>
      </c>
      <c r="C246" s="18">
        <v>25.93</v>
      </c>
      <c r="D246" s="12">
        <v>1.98</v>
      </c>
      <c r="E246" s="15" t="s">
        <v>11</v>
      </c>
      <c r="H246" s="10"/>
      <c r="I246" s="10"/>
    </row>
    <row r="247" spans="1:9" x14ac:dyDescent="0.2">
      <c r="A247" s="10">
        <v>16452</v>
      </c>
      <c r="B247" s="11">
        <v>42117</v>
      </c>
      <c r="C247" s="18">
        <v>253.25</v>
      </c>
      <c r="D247" s="12">
        <v>19.3</v>
      </c>
      <c r="E247" s="15" t="s">
        <v>21</v>
      </c>
      <c r="H247" s="10"/>
      <c r="I247" s="10"/>
    </row>
    <row r="248" spans="1:9" x14ac:dyDescent="0.2">
      <c r="A248" s="10">
        <v>16453</v>
      </c>
      <c r="B248" s="11">
        <v>42117</v>
      </c>
      <c r="C248" s="18">
        <v>86.6</v>
      </c>
      <c r="D248" s="12">
        <v>6.6</v>
      </c>
      <c r="E248" s="15" t="s">
        <v>11</v>
      </c>
      <c r="F248" s="21"/>
      <c r="G248" s="22"/>
      <c r="H248" s="10"/>
      <c r="I248" s="10"/>
    </row>
    <row r="249" spans="1:9" x14ac:dyDescent="0.2">
      <c r="A249" s="10">
        <v>16454</v>
      </c>
      <c r="B249" s="11">
        <v>42117</v>
      </c>
      <c r="C249" s="18">
        <v>29.23</v>
      </c>
      <c r="D249" s="12">
        <v>2.23</v>
      </c>
      <c r="E249" s="15" t="s">
        <v>11</v>
      </c>
      <c r="H249" s="10"/>
      <c r="I249" s="10"/>
    </row>
    <row r="250" spans="1:9" x14ac:dyDescent="0.2">
      <c r="A250" s="10">
        <v>16455</v>
      </c>
      <c r="B250" s="11">
        <v>42117</v>
      </c>
      <c r="C250" s="18">
        <v>14.969999999999999</v>
      </c>
      <c r="D250" s="12">
        <v>1.1399999999999999</v>
      </c>
      <c r="E250" s="17"/>
      <c r="F250" s="18"/>
      <c r="G250" s="19"/>
      <c r="H250" s="12"/>
      <c r="I250" s="10"/>
    </row>
    <row r="251" spans="1:9" x14ac:dyDescent="0.2">
      <c r="A251" s="10">
        <v>16456</v>
      </c>
      <c r="B251" s="11">
        <v>42117</v>
      </c>
      <c r="C251" s="18">
        <v>42.830000000000005</v>
      </c>
      <c r="D251" s="12">
        <v>2.88</v>
      </c>
      <c r="E251" s="15" t="s">
        <v>11</v>
      </c>
      <c r="H251" s="10"/>
      <c r="I251" s="10"/>
    </row>
    <row r="252" spans="1:9" x14ac:dyDescent="0.2">
      <c r="A252" s="10">
        <v>16457</v>
      </c>
      <c r="B252" s="11">
        <v>42117</v>
      </c>
      <c r="C252" s="18">
        <v>74.69</v>
      </c>
      <c r="D252" s="12">
        <v>5.69</v>
      </c>
      <c r="E252" s="15" t="s">
        <v>11</v>
      </c>
      <c r="F252" s="21"/>
      <c r="G252" s="22"/>
      <c r="H252" s="10"/>
      <c r="I252" s="10"/>
    </row>
    <row r="253" spans="1:9" x14ac:dyDescent="0.2">
      <c r="A253" s="10">
        <v>16458</v>
      </c>
      <c r="B253" s="11">
        <v>42117</v>
      </c>
      <c r="C253" s="18">
        <v>53.04</v>
      </c>
      <c r="D253" s="12">
        <v>4.04</v>
      </c>
      <c r="E253" s="17"/>
      <c r="H253" s="12"/>
      <c r="I253" s="10"/>
    </row>
    <row r="254" spans="1:9" x14ac:dyDescent="0.2">
      <c r="A254" s="10">
        <v>16459</v>
      </c>
      <c r="B254" s="11">
        <v>42117</v>
      </c>
      <c r="C254" s="18">
        <v>15</v>
      </c>
      <c r="D254" s="12">
        <v>1.1399999999999999</v>
      </c>
      <c r="E254" s="17"/>
      <c r="H254" s="12"/>
      <c r="I254" s="10"/>
    </row>
    <row r="255" spans="1:9" x14ac:dyDescent="0.2">
      <c r="A255" s="10">
        <v>16460</v>
      </c>
      <c r="B255" s="11">
        <v>42117</v>
      </c>
      <c r="C255" s="18">
        <v>27.06</v>
      </c>
      <c r="D255" s="12">
        <v>2.06</v>
      </c>
      <c r="E255" s="17"/>
      <c r="H255" s="12"/>
      <c r="I255" s="10"/>
    </row>
    <row r="256" spans="1:9" x14ac:dyDescent="0.2">
      <c r="A256" s="10">
        <v>16461</v>
      </c>
      <c r="B256" s="11">
        <v>42117</v>
      </c>
      <c r="C256" s="18">
        <v>41.14</v>
      </c>
      <c r="D256" s="12">
        <v>3.14</v>
      </c>
      <c r="E256" s="15" t="s">
        <v>11</v>
      </c>
      <c r="F256" s="33">
        <f>+C246+C248+C249+C251+C252+34.64+C256</f>
        <v>335.05999999999995</v>
      </c>
      <c r="G256" s="34">
        <v>330.75</v>
      </c>
      <c r="H256" s="10"/>
      <c r="I256" s="10"/>
    </row>
    <row r="257" spans="1:9" x14ac:dyDescent="0.2">
      <c r="A257" s="10">
        <v>16462</v>
      </c>
      <c r="B257" s="11">
        <v>42118</v>
      </c>
      <c r="C257" s="18">
        <v>60.62</v>
      </c>
      <c r="D257" s="12">
        <v>4.62</v>
      </c>
      <c r="E257" s="17"/>
      <c r="H257" s="12"/>
      <c r="I257" s="10"/>
    </row>
    <row r="258" spans="1:9" x14ac:dyDescent="0.2">
      <c r="A258" s="10">
        <v>16463</v>
      </c>
      <c r="B258" s="11">
        <v>42118</v>
      </c>
      <c r="C258" s="18">
        <v>-86.6</v>
      </c>
      <c r="D258" s="12">
        <v>-6.6</v>
      </c>
      <c r="E258" s="15" t="s">
        <v>11</v>
      </c>
      <c r="F258" s="21"/>
      <c r="G258" s="22"/>
      <c r="H258" s="10"/>
      <c r="I258" s="10"/>
    </row>
    <row r="259" spans="1:9" x14ac:dyDescent="0.2">
      <c r="A259" s="10">
        <v>16464</v>
      </c>
      <c r="B259" s="11">
        <v>42118</v>
      </c>
      <c r="C259" s="18">
        <v>4.8899999999999997</v>
      </c>
      <c r="D259" s="12"/>
      <c r="E259" s="13" t="s">
        <v>36</v>
      </c>
      <c r="F259" s="18"/>
      <c r="G259" s="19"/>
      <c r="H259" s="12"/>
      <c r="I259" s="10"/>
    </row>
    <row r="260" spans="1:9" x14ac:dyDescent="0.2">
      <c r="A260" s="10">
        <v>16465</v>
      </c>
      <c r="B260" s="11">
        <v>42118</v>
      </c>
      <c r="C260" s="18">
        <v>194.85</v>
      </c>
      <c r="D260" s="12">
        <v>14.85</v>
      </c>
      <c r="E260" s="15"/>
      <c r="H260" s="10"/>
      <c r="I260" s="10"/>
    </row>
    <row r="261" spans="1:9" x14ac:dyDescent="0.2">
      <c r="A261" s="10">
        <v>16466</v>
      </c>
      <c r="B261" s="11">
        <v>42118</v>
      </c>
      <c r="C261" s="18">
        <v>299.85000000000002</v>
      </c>
      <c r="D261" s="12">
        <v>22.85</v>
      </c>
      <c r="E261" s="15" t="s">
        <v>7</v>
      </c>
      <c r="F261" s="21"/>
      <c r="G261" s="22"/>
      <c r="H261" s="10"/>
      <c r="I261" s="10"/>
    </row>
    <row r="262" spans="1:9" x14ac:dyDescent="0.2">
      <c r="A262" s="10">
        <v>16467</v>
      </c>
      <c r="B262" s="11">
        <v>42118</v>
      </c>
      <c r="C262" s="18">
        <v>342.07</v>
      </c>
      <c r="D262" s="12">
        <v>26.07</v>
      </c>
      <c r="E262" s="15" t="s">
        <v>7</v>
      </c>
      <c r="H262" s="10"/>
      <c r="I262" s="10"/>
    </row>
    <row r="263" spans="1:9" x14ac:dyDescent="0.2">
      <c r="A263" s="10">
        <v>16468</v>
      </c>
      <c r="B263" s="11">
        <v>42118</v>
      </c>
      <c r="C263" s="18">
        <v>54.13</v>
      </c>
      <c r="D263" s="12">
        <v>4.13</v>
      </c>
      <c r="E263" s="15" t="s">
        <v>11</v>
      </c>
      <c r="H263" s="10"/>
      <c r="I263" s="10"/>
    </row>
    <row r="264" spans="1:9" x14ac:dyDescent="0.2">
      <c r="A264" s="10">
        <v>16469</v>
      </c>
      <c r="B264" s="11">
        <v>42118</v>
      </c>
      <c r="C264" s="18">
        <v>69.999999999999986</v>
      </c>
      <c r="D264" s="12">
        <v>5.33</v>
      </c>
      <c r="E264" s="17"/>
      <c r="F264" s="18"/>
      <c r="G264" s="19"/>
      <c r="H264" s="12"/>
      <c r="I264" s="10"/>
    </row>
    <row r="265" spans="1:9" x14ac:dyDescent="0.2">
      <c r="A265" s="10">
        <v>16470</v>
      </c>
      <c r="B265" s="11">
        <v>42118</v>
      </c>
      <c r="C265" s="18">
        <v>81.73</v>
      </c>
      <c r="D265" s="12">
        <v>6.23</v>
      </c>
      <c r="E265" s="15" t="s">
        <v>11</v>
      </c>
      <c r="F265" s="33">
        <f>444.96+C258+C262+196.09+C263+92.01+C265+24.8</f>
        <v>1149.19</v>
      </c>
      <c r="G265" s="34">
        <v>1142.1099999999999</v>
      </c>
      <c r="H265" s="10"/>
      <c r="I265" s="10"/>
    </row>
    <row r="266" spans="1:9" x14ac:dyDescent="0.2">
      <c r="A266" s="10">
        <v>16471</v>
      </c>
      <c r="B266" s="11">
        <v>42119</v>
      </c>
      <c r="C266" s="18">
        <v>45.010000000000005</v>
      </c>
      <c r="D266" s="12">
        <v>3.43</v>
      </c>
      <c r="E266" s="17"/>
      <c r="F266" s="18"/>
      <c r="G266" s="19"/>
      <c r="H266" s="12"/>
      <c r="I266" s="10"/>
    </row>
    <row r="267" spans="1:9" x14ac:dyDescent="0.2">
      <c r="A267" s="10">
        <v>16472</v>
      </c>
      <c r="B267" s="11">
        <v>42119</v>
      </c>
      <c r="C267" s="18">
        <v>16.239999999999998</v>
      </c>
      <c r="D267" s="12">
        <v>1.24</v>
      </c>
      <c r="E267" s="17"/>
      <c r="H267" s="12"/>
      <c r="I267" s="10"/>
    </row>
    <row r="268" spans="1:9" x14ac:dyDescent="0.2">
      <c r="A268" s="10">
        <v>16473</v>
      </c>
      <c r="B268" s="11">
        <v>42119</v>
      </c>
      <c r="C268" s="18">
        <v>5.3900000000000006</v>
      </c>
      <c r="D268" s="12">
        <v>0.41</v>
      </c>
      <c r="E268" s="17"/>
      <c r="F268" s="18"/>
      <c r="G268" s="19"/>
      <c r="H268" s="12"/>
      <c r="I268" s="10"/>
    </row>
    <row r="269" spans="1:9" x14ac:dyDescent="0.2">
      <c r="A269" s="10">
        <v>16474</v>
      </c>
      <c r="B269" s="11">
        <v>42119</v>
      </c>
      <c r="C269" s="18">
        <v>23.82</v>
      </c>
      <c r="D269" s="12">
        <v>1.82</v>
      </c>
      <c r="E269" s="15" t="s">
        <v>11</v>
      </c>
      <c r="H269" s="10"/>
      <c r="I269" s="10"/>
    </row>
    <row r="270" spans="1:9" x14ac:dyDescent="0.2">
      <c r="A270" s="10">
        <v>16475</v>
      </c>
      <c r="B270" s="11">
        <v>42119</v>
      </c>
      <c r="C270" s="18">
        <v>120</v>
      </c>
      <c r="D270" s="12">
        <v>9.15</v>
      </c>
      <c r="E270" s="17"/>
      <c r="H270" s="12"/>
      <c r="I270" s="10"/>
    </row>
    <row r="271" spans="1:9" x14ac:dyDescent="0.2">
      <c r="A271" s="10">
        <v>16476</v>
      </c>
      <c r="B271" s="11">
        <v>42119</v>
      </c>
      <c r="C271" s="18">
        <v>8.61</v>
      </c>
      <c r="D271" s="12">
        <v>0.66</v>
      </c>
      <c r="E271" s="17"/>
      <c r="H271" s="12"/>
      <c r="I271" s="10"/>
    </row>
    <row r="272" spans="1:9" x14ac:dyDescent="0.2">
      <c r="A272" s="10">
        <v>16477</v>
      </c>
      <c r="B272" s="11">
        <v>42119</v>
      </c>
      <c r="C272" s="18">
        <v>55</v>
      </c>
      <c r="D272" s="12"/>
      <c r="E272" s="13" t="s">
        <v>310</v>
      </c>
      <c r="H272" s="12"/>
      <c r="I272" s="10"/>
    </row>
    <row r="273" spans="1:9" x14ac:dyDescent="0.2">
      <c r="A273" s="10">
        <v>16478</v>
      </c>
      <c r="B273" s="11">
        <v>42119</v>
      </c>
      <c r="C273" s="18">
        <v>206.76</v>
      </c>
      <c r="D273" s="12">
        <v>15.76</v>
      </c>
      <c r="E273" s="17"/>
      <c r="F273" s="33">
        <f>+C269+C261+101.15</f>
        <v>424.82000000000005</v>
      </c>
      <c r="G273" s="34">
        <v>415.88</v>
      </c>
      <c r="H273" s="12"/>
      <c r="I273" s="10"/>
    </row>
    <row r="274" spans="1:9" x14ac:dyDescent="0.2">
      <c r="A274" s="10">
        <v>16479</v>
      </c>
      <c r="B274" s="11">
        <v>42121</v>
      </c>
      <c r="C274" s="18">
        <v>71.45</v>
      </c>
      <c r="D274" s="12">
        <v>5.45</v>
      </c>
      <c r="E274" s="15" t="s">
        <v>11</v>
      </c>
      <c r="F274" s="21"/>
      <c r="G274" s="22"/>
      <c r="H274" s="10"/>
      <c r="I274" s="10"/>
    </row>
    <row r="275" spans="1:9" x14ac:dyDescent="0.2">
      <c r="A275" s="10">
        <v>16480</v>
      </c>
      <c r="B275" s="11">
        <v>42121</v>
      </c>
      <c r="C275" s="18">
        <v>206.22</v>
      </c>
      <c r="D275" s="12">
        <v>15.72</v>
      </c>
      <c r="E275" s="17"/>
      <c r="F275" s="115"/>
      <c r="G275" s="115"/>
      <c r="H275" s="12"/>
      <c r="I275" s="10"/>
    </row>
    <row r="276" spans="1:9" x14ac:dyDescent="0.2">
      <c r="A276" s="10">
        <v>16481</v>
      </c>
      <c r="B276" s="11">
        <v>42121</v>
      </c>
      <c r="C276" s="18">
        <v>31.39</v>
      </c>
      <c r="D276" s="12">
        <v>2.39</v>
      </c>
      <c r="E276" s="17"/>
      <c r="F276" s="18"/>
      <c r="G276" s="19"/>
      <c r="H276" s="12"/>
      <c r="I276" s="10"/>
    </row>
    <row r="277" spans="1:9" x14ac:dyDescent="0.2">
      <c r="A277" s="10">
        <v>16482</v>
      </c>
      <c r="B277" s="11">
        <v>42121</v>
      </c>
      <c r="C277" s="18">
        <v>140.72999999999999</v>
      </c>
      <c r="D277" s="12">
        <v>10.73</v>
      </c>
      <c r="E277" s="15" t="s">
        <v>11</v>
      </c>
      <c r="F277" s="21"/>
      <c r="G277" s="22"/>
      <c r="H277" s="10"/>
      <c r="I277" s="10"/>
    </row>
    <row r="278" spans="1:9" x14ac:dyDescent="0.2">
      <c r="A278" s="10">
        <v>16483</v>
      </c>
      <c r="B278" s="11">
        <v>42121</v>
      </c>
      <c r="C278" s="18">
        <v>10.83</v>
      </c>
      <c r="D278" s="12">
        <v>0.83</v>
      </c>
      <c r="E278" s="13"/>
      <c r="F278" s="18"/>
      <c r="G278" s="19"/>
      <c r="H278" s="12"/>
      <c r="I278" s="10"/>
    </row>
    <row r="279" spans="1:9" x14ac:dyDescent="0.2">
      <c r="A279" s="10">
        <v>16484</v>
      </c>
      <c r="B279" s="11">
        <v>42121</v>
      </c>
      <c r="C279" s="18">
        <v>20</v>
      </c>
      <c r="D279" s="12">
        <v>1.52</v>
      </c>
      <c r="E279" s="13"/>
      <c r="F279" s="18"/>
      <c r="G279" s="19"/>
      <c r="H279" s="12"/>
      <c r="I279" s="10"/>
    </row>
    <row r="280" spans="1:9" x14ac:dyDescent="0.2">
      <c r="A280" s="10">
        <v>16485</v>
      </c>
      <c r="B280" s="11">
        <v>42121</v>
      </c>
      <c r="C280" s="18">
        <v>129.9</v>
      </c>
      <c r="D280" s="12">
        <v>9.9</v>
      </c>
      <c r="E280" s="15" t="s">
        <v>7</v>
      </c>
      <c r="F280" s="21"/>
      <c r="G280" s="22"/>
      <c r="H280" s="10"/>
      <c r="I280" s="10"/>
    </row>
    <row r="281" spans="1:9" x14ac:dyDescent="0.2">
      <c r="A281" s="10">
        <v>16486</v>
      </c>
      <c r="B281" s="11">
        <v>42121</v>
      </c>
      <c r="C281" s="18">
        <v>115.77000000000001</v>
      </c>
      <c r="D281" s="12">
        <v>8.82</v>
      </c>
      <c r="E281" s="17"/>
      <c r="F281" s="18"/>
      <c r="G281" s="19"/>
      <c r="H281" s="12"/>
      <c r="I281" s="10"/>
    </row>
    <row r="282" spans="1:9" x14ac:dyDescent="0.2">
      <c r="A282" s="10">
        <v>16487</v>
      </c>
      <c r="B282" s="11">
        <v>42121</v>
      </c>
      <c r="C282" s="18">
        <v>11</v>
      </c>
      <c r="D282" s="12">
        <v>0.84</v>
      </c>
      <c r="E282" s="17"/>
      <c r="H282" s="12"/>
      <c r="I282" s="10"/>
    </row>
    <row r="283" spans="1:9" x14ac:dyDescent="0.2">
      <c r="A283" s="10">
        <v>16488</v>
      </c>
      <c r="B283" s="11">
        <v>42121</v>
      </c>
      <c r="C283" s="18">
        <v>18.399999999999999</v>
      </c>
      <c r="D283" s="12">
        <v>1.4</v>
      </c>
      <c r="E283" s="17"/>
      <c r="H283" s="12"/>
      <c r="I283" s="10"/>
    </row>
    <row r="284" spans="1:9" x14ac:dyDescent="0.2">
      <c r="A284" s="10">
        <v>16489</v>
      </c>
      <c r="B284" s="11">
        <v>42121</v>
      </c>
      <c r="C284" s="18">
        <v>122</v>
      </c>
      <c r="D284" s="12"/>
      <c r="E284" s="15" t="s">
        <v>317</v>
      </c>
      <c r="F284" s="21"/>
      <c r="G284" s="22"/>
      <c r="H284" s="10"/>
      <c r="I284" s="10"/>
    </row>
    <row r="285" spans="1:9" x14ac:dyDescent="0.2">
      <c r="A285" s="10">
        <v>16490</v>
      </c>
      <c r="B285" s="11">
        <v>42121</v>
      </c>
      <c r="C285" s="18">
        <v>181.86</v>
      </c>
      <c r="D285" s="12">
        <v>13.86</v>
      </c>
      <c r="E285" s="13"/>
      <c r="F285" s="18"/>
      <c r="G285" s="19"/>
      <c r="H285" s="12"/>
      <c r="I285" s="10"/>
    </row>
    <row r="286" spans="1:9" x14ac:dyDescent="0.2">
      <c r="A286" s="10">
        <v>16491</v>
      </c>
      <c r="B286" s="11">
        <v>42121</v>
      </c>
      <c r="C286" s="18">
        <v>58.46</v>
      </c>
      <c r="D286" s="12">
        <v>4.46</v>
      </c>
      <c r="E286" s="15" t="s">
        <v>11</v>
      </c>
      <c r="H286" s="10"/>
      <c r="I286" s="10"/>
    </row>
    <row r="287" spans="1:9" x14ac:dyDescent="0.2">
      <c r="A287" s="10">
        <v>16492</v>
      </c>
      <c r="B287" s="11">
        <v>42121</v>
      </c>
      <c r="C287" s="18">
        <v>0</v>
      </c>
      <c r="D287" s="12">
        <v>0</v>
      </c>
      <c r="E287" s="15" t="s">
        <v>335</v>
      </c>
      <c r="F287" s="33">
        <f>100+C277+C280+C286+241.93</f>
        <v>671.02</v>
      </c>
      <c r="G287" s="34">
        <v>661.05</v>
      </c>
      <c r="H287" s="10"/>
      <c r="I287" s="10"/>
    </row>
    <row r="288" spans="1:9" x14ac:dyDescent="0.2">
      <c r="A288" s="10">
        <v>16493</v>
      </c>
      <c r="B288" s="11">
        <v>42122</v>
      </c>
      <c r="C288" s="18">
        <v>172.12</v>
      </c>
      <c r="D288" s="12">
        <v>13.12</v>
      </c>
      <c r="E288" s="15" t="s">
        <v>11</v>
      </c>
      <c r="F288" s="21"/>
      <c r="G288" s="22"/>
      <c r="H288" s="10"/>
      <c r="I288" s="10"/>
    </row>
    <row r="289" spans="1:9" x14ac:dyDescent="0.2">
      <c r="A289" s="10">
        <v>16494</v>
      </c>
      <c r="B289" s="11">
        <v>42122</v>
      </c>
      <c r="C289" s="18">
        <v>42.870000000000005</v>
      </c>
      <c r="D289" s="12">
        <v>3.27</v>
      </c>
      <c r="E289" s="15" t="s">
        <v>21</v>
      </c>
      <c r="H289" s="10"/>
      <c r="I289" s="10"/>
    </row>
    <row r="290" spans="1:9" x14ac:dyDescent="0.2">
      <c r="A290" s="10">
        <v>16495</v>
      </c>
      <c r="B290" s="11">
        <v>42122</v>
      </c>
      <c r="C290" s="18">
        <v>177.53</v>
      </c>
      <c r="D290" s="12">
        <v>13.53</v>
      </c>
      <c r="E290" s="15" t="s">
        <v>7</v>
      </c>
      <c r="F290" s="21"/>
      <c r="G290" s="22"/>
      <c r="H290" s="10"/>
      <c r="I290" s="10"/>
    </row>
    <row r="291" spans="1:9" x14ac:dyDescent="0.2">
      <c r="A291" s="10">
        <v>16496</v>
      </c>
      <c r="B291" s="11">
        <v>42122</v>
      </c>
      <c r="C291" s="18">
        <v>2.1100000000000003</v>
      </c>
      <c r="D291" s="12">
        <v>0.16</v>
      </c>
      <c r="E291" s="13"/>
      <c r="F291" s="18"/>
      <c r="G291" s="19"/>
      <c r="H291" s="12"/>
      <c r="I291" s="10"/>
    </row>
    <row r="292" spans="1:9" x14ac:dyDescent="0.2">
      <c r="A292" s="10">
        <v>16497</v>
      </c>
      <c r="B292" s="11">
        <v>42122</v>
      </c>
      <c r="C292" s="18">
        <v>248.98</v>
      </c>
      <c r="D292" s="12">
        <v>18.98</v>
      </c>
      <c r="E292" s="15" t="s">
        <v>11</v>
      </c>
      <c r="H292" s="10"/>
      <c r="I292" s="10"/>
    </row>
    <row r="293" spans="1:9" x14ac:dyDescent="0.2">
      <c r="A293" s="10">
        <v>16498</v>
      </c>
      <c r="B293" s="11">
        <v>42122</v>
      </c>
      <c r="C293" s="18">
        <v>48.550000000000004</v>
      </c>
      <c r="D293" s="12">
        <v>3.7</v>
      </c>
      <c r="E293" s="15" t="s">
        <v>11</v>
      </c>
      <c r="H293" s="10"/>
      <c r="I293" s="10"/>
    </row>
    <row r="294" spans="1:9" x14ac:dyDescent="0.2">
      <c r="A294" s="10">
        <v>16499</v>
      </c>
      <c r="B294" s="11">
        <v>42122</v>
      </c>
      <c r="C294" s="18">
        <v>149.93</v>
      </c>
      <c r="D294" s="12">
        <v>11.43</v>
      </c>
      <c r="E294" s="15" t="s">
        <v>11</v>
      </c>
      <c r="H294" s="10"/>
      <c r="I294" s="10"/>
    </row>
    <row r="295" spans="1:9" x14ac:dyDescent="0.2">
      <c r="A295" s="10">
        <v>16500</v>
      </c>
      <c r="B295" s="11">
        <v>42122</v>
      </c>
      <c r="C295" s="18">
        <v>1106.32</v>
      </c>
      <c r="D295" s="12">
        <v>84.32</v>
      </c>
      <c r="E295" s="15" t="s">
        <v>11</v>
      </c>
      <c r="F295" s="21"/>
      <c r="G295" s="22"/>
      <c r="H295" s="10"/>
      <c r="I295" s="10"/>
    </row>
    <row r="296" spans="1:9" x14ac:dyDescent="0.2">
      <c r="A296" s="10">
        <v>16501</v>
      </c>
      <c r="B296" s="11">
        <v>42122</v>
      </c>
      <c r="C296" s="18">
        <v>18.940000000000001</v>
      </c>
      <c r="D296" s="12">
        <v>1.44</v>
      </c>
      <c r="E296" s="13"/>
      <c r="F296" s="18"/>
      <c r="G296" s="19"/>
      <c r="H296" s="12"/>
      <c r="I296" s="10"/>
    </row>
    <row r="297" spans="1:9" x14ac:dyDescent="0.2">
      <c r="A297" s="10">
        <v>16502</v>
      </c>
      <c r="B297" s="11">
        <v>42122</v>
      </c>
      <c r="C297" s="18">
        <v>41</v>
      </c>
      <c r="D297" s="12">
        <v>3.12</v>
      </c>
      <c r="E297" s="15" t="s">
        <v>11</v>
      </c>
      <c r="F297" s="33">
        <f>+C288+C290+C293+122+C294+550+C297+293.29</f>
        <v>1554.42</v>
      </c>
      <c r="G297" s="34">
        <v>1536.84</v>
      </c>
      <c r="H297" s="10"/>
      <c r="I297" s="10"/>
    </row>
    <row r="298" spans="1:9" x14ac:dyDescent="0.2">
      <c r="A298" s="10">
        <v>16503</v>
      </c>
      <c r="B298" s="11">
        <v>42123</v>
      </c>
      <c r="C298" s="18">
        <v>60</v>
      </c>
      <c r="D298" s="12"/>
      <c r="E298" s="15" t="s">
        <v>21</v>
      </c>
      <c r="F298" s="21"/>
      <c r="G298" s="22"/>
      <c r="H298" s="10"/>
      <c r="I298" s="10"/>
    </row>
    <row r="299" spans="1:9" x14ac:dyDescent="0.2">
      <c r="A299" s="10">
        <v>16504</v>
      </c>
      <c r="B299" s="11">
        <v>42123</v>
      </c>
      <c r="C299" s="18">
        <v>21.65</v>
      </c>
      <c r="D299" s="12">
        <v>1.65</v>
      </c>
      <c r="E299" s="15" t="s">
        <v>11</v>
      </c>
      <c r="F299" s="21"/>
      <c r="G299" s="22"/>
      <c r="H299" s="10"/>
      <c r="I299" s="10"/>
    </row>
    <row r="300" spans="1:9" x14ac:dyDescent="0.2">
      <c r="A300" s="10">
        <v>16505</v>
      </c>
      <c r="B300" s="11">
        <v>42123</v>
      </c>
      <c r="C300" s="18">
        <v>2566</v>
      </c>
      <c r="D300" s="12"/>
      <c r="E300" s="15" t="s">
        <v>336</v>
      </c>
      <c r="H300" s="10"/>
      <c r="I300" s="10"/>
    </row>
    <row r="301" spans="1:9" x14ac:dyDescent="0.2">
      <c r="A301" s="10">
        <v>16506</v>
      </c>
      <c r="B301" s="11">
        <v>42123</v>
      </c>
      <c r="C301" s="18">
        <v>183.48</v>
      </c>
      <c r="D301" s="12">
        <v>13.98</v>
      </c>
      <c r="E301" s="15" t="s">
        <v>337</v>
      </c>
      <c r="H301" s="10"/>
      <c r="I301" s="10"/>
    </row>
    <row r="302" spans="1:9" x14ac:dyDescent="0.2">
      <c r="A302" s="10">
        <v>16507</v>
      </c>
      <c r="B302" s="11">
        <v>42123</v>
      </c>
      <c r="C302" s="18">
        <v>96.23</v>
      </c>
      <c r="D302" s="12">
        <v>7.33</v>
      </c>
      <c r="E302" s="17"/>
      <c r="H302" s="12"/>
      <c r="I302" s="10"/>
    </row>
    <row r="303" spans="1:9" x14ac:dyDescent="0.2">
      <c r="A303" s="10">
        <v>16508</v>
      </c>
      <c r="B303" s="11">
        <v>42123</v>
      </c>
      <c r="C303" s="18">
        <v>4.4800000000000004</v>
      </c>
      <c r="D303" s="12"/>
      <c r="E303" s="15" t="s">
        <v>338</v>
      </c>
      <c r="H303" s="10"/>
      <c r="I303" s="10"/>
    </row>
    <row r="304" spans="1:9" x14ac:dyDescent="0.2">
      <c r="A304" s="10">
        <v>16509</v>
      </c>
      <c r="B304" s="11">
        <v>42123</v>
      </c>
      <c r="C304" s="18">
        <v>43.3</v>
      </c>
      <c r="D304" s="12">
        <v>3.3</v>
      </c>
      <c r="E304" s="17"/>
      <c r="H304" s="12"/>
      <c r="I304" s="10"/>
    </row>
    <row r="305" spans="1:13" x14ac:dyDescent="0.2">
      <c r="A305" s="10">
        <v>16510</v>
      </c>
      <c r="B305" s="11">
        <v>42123</v>
      </c>
      <c r="C305" s="18">
        <v>60.62</v>
      </c>
      <c r="D305" s="12">
        <v>4.62</v>
      </c>
      <c r="E305" s="15" t="s">
        <v>11</v>
      </c>
      <c r="H305" s="10"/>
      <c r="I305" s="10"/>
    </row>
    <row r="306" spans="1:13" x14ac:dyDescent="0.2">
      <c r="A306" s="10">
        <v>16511</v>
      </c>
      <c r="B306" s="11">
        <v>42123</v>
      </c>
      <c r="C306" s="18">
        <v>611.61</v>
      </c>
      <c r="D306" s="12">
        <v>46.61</v>
      </c>
      <c r="E306" s="17"/>
      <c r="F306" s="18"/>
      <c r="G306" s="19"/>
      <c r="H306" s="12"/>
      <c r="I306" s="10"/>
    </row>
    <row r="307" spans="1:13" x14ac:dyDescent="0.2">
      <c r="A307" s="10">
        <v>16512</v>
      </c>
      <c r="B307" s="11">
        <v>42123</v>
      </c>
      <c r="C307" s="18">
        <v>41.14</v>
      </c>
      <c r="D307" s="12">
        <v>3.14</v>
      </c>
      <c r="E307" s="17"/>
      <c r="H307" s="12"/>
      <c r="I307" s="10"/>
    </row>
    <row r="308" spans="1:13" x14ac:dyDescent="0.2">
      <c r="A308" s="10">
        <v>16513</v>
      </c>
      <c r="B308" s="11">
        <v>42123</v>
      </c>
      <c r="C308" s="18">
        <v>48.71</v>
      </c>
      <c r="D308" s="12">
        <v>3.71</v>
      </c>
      <c r="E308" s="15" t="s">
        <v>21</v>
      </c>
      <c r="H308" s="10"/>
      <c r="I308" s="10"/>
    </row>
    <row r="309" spans="1:13" x14ac:dyDescent="0.2">
      <c r="A309" s="10">
        <v>16514</v>
      </c>
      <c r="B309" s="11">
        <v>42123</v>
      </c>
      <c r="C309" s="18">
        <v>18</v>
      </c>
      <c r="D309" s="12">
        <v>1.37</v>
      </c>
      <c r="E309" s="17"/>
      <c r="H309" s="12"/>
      <c r="I309" s="10"/>
    </row>
    <row r="310" spans="1:13" x14ac:dyDescent="0.2">
      <c r="A310" s="10">
        <v>16515</v>
      </c>
      <c r="B310" s="11">
        <v>42123</v>
      </c>
      <c r="C310" s="18">
        <v>40.700000000000003</v>
      </c>
      <c r="D310" s="12">
        <v>3.1</v>
      </c>
      <c r="E310" s="15" t="s">
        <v>11</v>
      </c>
      <c r="H310" s="10"/>
      <c r="I310" s="10"/>
    </row>
    <row r="311" spans="1:13" x14ac:dyDescent="0.2">
      <c r="A311" s="10">
        <v>16516</v>
      </c>
      <c r="B311" s="11">
        <v>42123</v>
      </c>
      <c r="C311" s="18">
        <v>506.61</v>
      </c>
      <c r="D311" s="12">
        <v>38.61</v>
      </c>
      <c r="E311" s="17"/>
      <c r="H311" s="12"/>
      <c r="I311" s="10"/>
    </row>
    <row r="312" spans="1:13" x14ac:dyDescent="0.2">
      <c r="A312" s="10">
        <v>16517</v>
      </c>
      <c r="B312" s="11">
        <v>42123</v>
      </c>
      <c r="C312" s="18">
        <v>9.9599999999999991</v>
      </c>
      <c r="D312" s="12">
        <v>0.76</v>
      </c>
      <c r="E312" s="17"/>
      <c r="F312" s="33">
        <f>+C299+80+C292+C305+C310+C274+236.61</f>
        <v>760.01</v>
      </c>
      <c r="G312" s="34">
        <v>752.25</v>
      </c>
      <c r="H312" s="12"/>
      <c r="I312" s="10"/>
    </row>
    <row r="313" spans="1:13" x14ac:dyDescent="0.2">
      <c r="A313" s="10">
        <v>16518</v>
      </c>
      <c r="B313" s="11">
        <v>42124</v>
      </c>
      <c r="C313" s="18">
        <v>360</v>
      </c>
      <c r="D313" s="12"/>
      <c r="E313" s="15" t="s">
        <v>53</v>
      </c>
      <c r="F313" s="21"/>
      <c r="G313" s="22"/>
      <c r="H313" s="10"/>
      <c r="I313" s="10"/>
    </row>
    <row r="314" spans="1:13" x14ac:dyDescent="0.2">
      <c r="A314" s="10">
        <v>16519</v>
      </c>
      <c r="B314" s="11">
        <v>42124</v>
      </c>
      <c r="C314" s="18">
        <v>74.69</v>
      </c>
      <c r="D314" s="12">
        <v>5.69</v>
      </c>
      <c r="E314" s="15" t="s">
        <v>21</v>
      </c>
      <c r="F314" s="21"/>
      <c r="G314" s="22"/>
      <c r="H314" s="10"/>
      <c r="I314" s="10"/>
    </row>
    <row r="315" spans="1:13" x14ac:dyDescent="0.2">
      <c r="A315" s="10">
        <v>16520</v>
      </c>
      <c r="B315" s="11">
        <v>42124</v>
      </c>
      <c r="C315" s="18">
        <v>97.43</v>
      </c>
      <c r="D315" s="12">
        <v>7.43</v>
      </c>
      <c r="E315" s="13"/>
      <c r="F315" s="18"/>
      <c r="G315" s="19"/>
      <c r="H315" s="12"/>
      <c r="I315" s="10"/>
    </row>
    <row r="316" spans="1:13" x14ac:dyDescent="0.2">
      <c r="A316" s="10">
        <v>16521</v>
      </c>
      <c r="B316" s="11">
        <v>42124</v>
      </c>
      <c r="C316" s="18">
        <v>10.33</v>
      </c>
      <c r="D316" s="12"/>
      <c r="E316" s="15" t="s">
        <v>339</v>
      </c>
      <c r="F316" s="21"/>
      <c r="G316" s="22"/>
      <c r="H316" s="10"/>
      <c r="I316" s="10"/>
    </row>
    <row r="317" spans="1:13" x14ac:dyDescent="0.2">
      <c r="A317" s="10">
        <v>16522</v>
      </c>
      <c r="B317" s="11">
        <v>42124</v>
      </c>
      <c r="C317" s="18">
        <v>10.83</v>
      </c>
      <c r="D317" s="12">
        <v>0.83</v>
      </c>
      <c r="E317" s="15" t="s">
        <v>11</v>
      </c>
      <c r="H317" s="10"/>
      <c r="I317" s="10"/>
    </row>
    <row r="318" spans="1:13" x14ac:dyDescent="0.2">
      <c r="A318" s="10">
        <v>16523</v>
      </c>
      <c r="B318" s="11">
        <v>42124</v>
      </c>
      <c r="C318" s="18">
        <v>165</v>
      </c>
      <c r="D318" s="12">
        <v>12.57</v>
      </c>
      <c r="E318" s="17"/>
      <c r="H318" s="12"/>
      <c r="I318" s="10"/>
    </row>
    <row r="319" spans="1:13" x14ac:dyDescent="0.2">
      <c r="A319" s="10">
        <v>16524</v>
      </c>
      <c r="B319" s="11">
        <v>42124</v>
      </c>
      <c r="C319" s="12">
        <v>46.98</v>
      </c>
      <c r="D319" s="12">
        <v>3.58</v>
      </c>
      <c r="E319" s="15" t="s">
        <v>7</v>
      </c>
      <c r="F319" s="10"/>
      <c r="G319" s="10"/>
      <c r="H319" s="118"/>
      <c r="I319" s="118"/>
      <c r="J319" s="98"/>
      <c r="K319" s="126"/>
      <c r="L319" s="110">
        <f>(+J323+J324+J325)/3</f>
        <v>0</v>
      </c>
      <c r="M319" s="98"/>
    </row>
    <row r="320" spans="1:13" x14ac:dyDescent="0.2">
      <c r="A320" s="10">
        <v>16525</v>
      </c>
      <c r="B320" s="11">
        <v>42124</v>
      </c>
      <c r="C320" s="12">
        <v>11</v>
      </c>
      <c r="D320" s="12"/>
      <c r="E320" s="15" t="s">
        <v>340</v>
      </c>
      <c r="H320" s="118"/>
      <c r="I320" s="118"/>
      <c r="J320" s="98"/>
      <c r="K320" s="126"/>
      <c r="L320" s="122"/>
      <c r="M320" s="98"/>
    </row>
    <row r="321" spans="1:13" x14ac:dyDescent="0.2">
      <c r="A321" s="10">
        <v>16526</v>
      </c>
      <c r="B321" s="11">
        <v>42124</v>
      </c>
      <c r="C321" s="12">
        <v>180.78</v>
      </c>
      <c r="D321" s="12">
        <v>13.78</v>
      </c>
      <c r="E321" s="13" t="s">
        <v>341</v>
      </c>
      <c r="H321" s="121"/>
      <c r="I321" s="118"/>
      <c r="J321" s="98"/>
      <c r="K321" s="126"/>
      <c r="L321" s="122"/>
      <c r="M321" s="98"/>
    </row>
    <row r="322" spans="1:13" x14ac:dyDescent="0.2">
      <c r="A322" s="10">
        <v>16527</v>
      </c>
      <c r="B322" s="11">
        <v>42124</v>
      </c>
      <c r="C322" s="12">
        <v>449.78</v>
      </c>
      <c r="D322" s="12">
        <v>34.28</v>
      </c>
      <c r="E322" s="15" t="s">
        <v>342</v>
      </c>
      <c r="F322" s="33">
        <f>6.83+C317+C319+250+74.69</f>
        <v>389.33</v>
      </c>
      <c r="G322" s="34">
        <v>385.35</v>
      </c>
      <c r="H322" s="118"/>
      <c r="I322" s="118"/>
      <c r="J322" s="98"/>
      <c r="K322" s="126"/>
      <c r="L322" s="122"/>
      <c r="M322" s="98"/>
    </row>
    <row r="323" spans="1:13" x14ac:dyDescent="0.2">
      <c r="E323" s="26"/>
      <c r="H323" s="12"/>
      <c r="I323" s="5"/>
      <c r="J323" s="27"/>
      <c r="L323" s="25"/>
    </row>
    <row r="324" spans="1:13" x14ac:dyDescent="0.2">
      <c r="E324" s="26"/>
      <c r="H324" s="12"/>
      <c r="I324" s="5"/>
      <c r="J324" s="27"/>
      <c r="L324" s="25"/>
    </row>
    <row r="325" spans="1:13" x14ac:dyDescent="0.2">
      <c r="E325" s="26"/>
      <c r="H325" s="12"/>
      <c r="I325" s="5"/>
      <c r="J325" s="27"/>
      <c r="L325" s="25"/>
    </row>
    <row r="326" spans="1:13" x14ac:dyDescent="0.2">
      <c r="E326" s="26"/>
      <c r="H326" s="12"/>
      <c r="I326" s="5"/>
      <c r="J326" s="27"/>
      <c r="L326" s="25"/>
    </row>
    <row r="327" spans="1:13" x14ac:dyDescent="0.2">
      <c r="E327" s="26"/>
      <c r="H327" s="12"/>
      <c r="I327" s="5"/>
      <c r="J327" s="27"/>
      <c r="L327" s="25"/>
    </row>
    <row r="328" spans="1:13" x14ac:dyDescent="0.2">
      <c r="E328" s="26"/>
      <c r="I328" s="5"/>
      <c r="J328" s="27"/>
      <c r="L328" s="25"/>
    </row>
    <row r="329" spans="1:13" x14ac:dyDescent="0.2">
      <c r="E329" s="26"/>
      <c r="I329" s="5"/>
      <c r="J329" s="27"/>
      <c r="K329" s="27"/>
      <c r="L329" s="25"/>
    </row>
    <row r="330" spans="1:13" x14ac:dyDescent="0.2">
      <c r="E330" s="26"/>
      <c r="I330" s="5"/>
      <c r="J330" s="27"/>
      <c r="L330" s="25"/>
    </row>
    <row r="331" spans="1:13" x14ac:dyDescent="0.2">
      <c r="E331" s="26"/>
      <c r="I331" s="5"/>
      <c r="J331" s="27"/>
      <c r="L331" s="25"/>
    </row>
    <row r="332" spans="1:13" x14ac:dyDescent="0.2">
      <c r="E332" s="26"/>
      <c r="I332" s="5"/>
      <c r="J332" s="27"/>
      <c r="L332" s="25"/>
    </row>
    <row r="333" spans="1:13" x14ac:dyDescent="0.2">
      <c r="E333" s="26"/>
      <c r="I333" s="5"/>
      <c r="J333" s="27"/>
      <c r="L333" s="25"/>
    </row>
    <row r="334" spans="1:13" x14ac:dyDescent="0.2">
      <c r="E334" s="26"/>
      <c r="I334" s="5"/>
      <c r="J334" s="27"/>
      <c r="L334" s="25"/>
    </row>
    <row r="335" spans="1:13" x14ac:dyDescent="0.2">
      <c r="E335" s="26"/>
      <c r="I335" s="5"/>
      <c r="J335" s="27"/>
      <c r="L335" s="25"/>
    </row>
    <row r="336" spans="1:13" x14ac:dyDescent="0.2">
      <c r="E336" s="26"/>
      <c r="I336" s="5"/>
      <c r="J336" s="27"/>
      <c r="K336" s="27"/>
      <c r="L336" s="25"/>
    </row>
    <row r="337" spans="1:28" x14ac:dyDescent="0.2">
      <c r="E337" s="26"/>
    </row>
    <row r="338" spans="1:28" x14ac:dyDescent="0.2">
      <c r="E338" s="26"/>
    </row>
    <row r="339" spans="1:28" x14ac:dyDescent="0.2">
      <c r="E339" s="26"/>
    </row>
    <row r="340" spans="1:28" x14ac:dyDescent="0.2">
      <c r="E340" s="26"/>
    </row>
    <row r="341" spans="1:28" x14ac:dyDescent="0.2">
      <c r="E341" s="26"/>
    </row>
    <row r="342" spans="1:28" x14ac:dyDescent="0.2">
      <c r="E342" s="26"/>
    </row>
    <row r="343" spans="1:28" x14ac:dyDescent="0.2">
      <c r="E343" s="26"/>
      <c r="I343" s="98"/>
      <c r="J343" s="98"/>
    </row>
    <row r="344" spans="1:28" x14ac:dyDescent="0.2">
      <c r="E344" s="26"/>
    </row>
    <row r="345" spans="1:28" s="29" customFormat="1" x14ac:dyDescent="0.2">
      <c r="A345" s="4"/>
      <c r="B345" s="11"/>
      <c r="C345" s="25"/>
      <c r="D345" s="4"/>
      <c r="E345" s="26"/>
      <c r="F345" s="4"/>
      <c r="G345" s="4"/>
      <c r="H345" s="25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s="29" customFormat="1" x14ac:dyDescent="0.2">
      <c r="A346" s="4"/>
      <c r="B346" s="11"/>
      <c r="C346" s="25"/>
      <c r="D346" s="4"/>
      <c r="E346" s="26"/>
      <c r="F346" s="4"/>
      <c r="G346" s="4"/>
      <c r="H346" s="25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x14ac:dyDescent="0.2">
      <c r="E347" s="26"/>
    </row>
    <row r="348" spans="1:28" x14ac:dyDescent="0.2">
      <c r="E348" s="26"/>
    </row>
    <row r="349" spans="1:28" x14ac:dyDescent="0.2">
      <c r="E349" s="26"/>
    </row>
    <row r="350" spans="1:28" x14ac:dyDescent="0.2">
      <c r="E350" s="26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</row>
    <row r="351" spans="1:28" x14ac:dyDescent="0.2">
      <c r="E351" s="26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</row>
    <row r="352" spans="1:28" x14ac:dyDescent="0.2">
      <c r="E352" s="26"/>
    </row>
    <row r="353" spans="1:10" x14ac:dyDescent="0.2">
      <c r="A353" s="29"/>
      <c r="B353" s="30"/>
      <c r="C353" s="31"/>
      <c r="D353" s="29"/>
      <c r="E353" s="32"/>
      <c r="F353" s="29"/>
      <c r="G353" s="29"/>
      <c r="H353" s="31"/>
      <c r="I353" s="29"/>
      <c r="J353" s="29"/>
    </row>
    <row r="354" spans="1:10" x14ac:dyDescent="0.2">
      <c r="A354" s="29"/>
      <c r="B354" s="30"/>
      <c r="C354" s="31"/>
      <c r="D354" s="29"/>
      <c r="E354" s="32"/>
      <c r="F354" s="29"/>
      <c r="G354" s="29"/>
      <c r="H354" s="31"/>
      <c r="I354" s="29"/>
      <c r="J354" s="29"/>
    </row>
    <row r="355" spans="1:10" x14ac:dyDescent="0.2">
      <c r="E355" s="26"/>
    </row>
    <row r="356" spans="1:10" x14ac:dyDescent="0.2">
      <c r="E356" s="26"/>
    </row>
    <row r="357" spans="1:10" x14ac:dyDescent="0.2">
      <c r="E357" s="26"/>
    </row>
    <row r="358" spans="1:10" x14ac:dyDescent="0.2">
      <c r="E358" s="26"/>
    </row>
    <row r="359" spans="1:10" x14ac:dyDescent="0.2">
      <c r="E359" s="26"/>
    </row>
    <row r="360" spans="1:10" x14ac:dyDescent="0.2">
      <c r="E360" s="26"/>
    </row>
    <row r="361" spans="1:10" x14ac:dyDescent="0.2">
      <c r="E361" s="26"/>
    </row>
    <row r="362" spans="1:10" x14ac:dyDescent="0.2">
      <c r="E362" s="26"/>
    </row>
    <row r="363" spans="1:10" x14ac:dyDescent="0.2">
      <c r="E363" s="26"/>
    </row>
    <row r="364" spans="1:10" x14ac:dyDescent="0.2">
      <c r="E364" s="26"/>
    </row>
    <row r="365" spans="1:10" x14ac:dyDescent="0.2">
      <c r="E365" s="26"/>
    </row>
    <row r="366" spans="1:10" x14ac:dyDescent="0.2">
      <c r="E366" s="26"/>
    </row>
    <row r="367" spans="1:10" x14ac:dyDescent="0.2">
      <c r="E367" s="26"/>
    </row>
    <row r="368" spans="1:10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  <row r="3289" spans="5:5" x14ac:dyDescent="0.2">
      <c r="E3289" s="26"/>
    </row>
    <row r="3290" spans="5:5" x14ac:dyDescent="0.2">
      <c r="E3290" s="26"/>
    </row>
    <row r="3291" spans="5:5" x14ac:dyDescent="0.2">
      <c r="E3291" s="26"/>
    </row>
    <row r="3292" spans="5:5" x14ac:dyDescent="0.2">
      <c r="E3292" s="26"/>
    </row>
    <row r="3293" spans="5:5" x14ac:dyDescent="0.2">
      <c r="E3293" s="26"/>
    </row>
    <row r="3294" spans="5:5" x14ac:dyDescent="0.2">
      <c r="E3294" s="26"/>
    </row>
    <row r="3295" spans="5:5" x14ac:dyDescent="0.2">
      <c r="E3295" s="26"/>
    </row>
    <row r="3296" spans="5:5" x14ac:dyDescent="0.2">
      <c r="E3296" s="26"/>
    </row>
    <row r="3297" spans="5:5" x14ac:dyDescent="0.2">
      <c r="E3297" s="26"/>
    </row>
    <row r="3298" spans="5:5" x14ac:dyDescent="0.2">
      <c r="E3298" s="26"/>
    </row>
    <row r="3299" spans="5:5" x14ac:dyDescent="0.2">
      <c r="E3299" s="26"/>
    </row>
    <row r="3300" spans="5:5" x14ac:dyDescent="0.2">
      <c r="E3300" s="26"/>
    </row>
    <row r="3301" spans="5:5" x14ac:dyDescent="0.2">
      <c r="E3301" s="26"/>
    </row>
    <row r="3302" spans="5:5" x14ac:dyDescent="0.2">
      <c r="E3302" s="26"/>
    </row>
    <row r="3303" spans="5:5" x14ac:dyDescent="0.2">
      <c r="E3303" s="26"/>
    </row>
    <row r="3304" spans="5:5" x14ac:dyDescent="0.2">
      <c r="E3304" s="26"/>
    </row>
    <row r="3305" spans="5:5" x14ac:dyDescent="0.2">
      <c r="E3305" s="26"/>
    </row>
    <row r="3306" spans="5:5" x14ac:dyDescent="0.2">
      <c r="E3306" s="26"/>
    </row>
    <row r="3307" spans="5:5" x14ac:dyDescent="0.2">
      <c r="E3307" s="26"/>
    </row>
    <row r="3308" spans="5:5" x14ac:dyDescent="0.2">
      <c r="E3308" s="26"/>
    </row>
    <row r="3309" spans="5:5" x14ac:dyDescent="0.2">
      <c r="E3309" s="26"/>
    </row>
    <row r="3310" spans="5:5" x14ac:dyDescent="0.2">
      <c r="E3310" s="26"/>
    </row>
    <row r="3311" spans="5:5" x14ac:dyDescent="0.2">
      <c r="E3311" s="26"/>
    </row>
    <row r="3312" spans="5:5" x14ac:dyDescent="0.2">
      <c r="E3312" s="26"/>
    </row>
    <row r="3313" spans="5:5" x14ac:dyDescent="0.2">
      <c r="E3313" s="26"/>
    </row>
    <row r="3314" spans="5:5" x14ac:dyDescent="0.2">
      <c r="E3314" s="26"/>
    </row>
    <row r="3315" spans="5:5" x14ac:dyDescent="0.2">
      <c r="E3315" s="26"/>
    </row>
    <row r="3316" spans="5:5" x14ac:dyDescent="0.2">
      <c r="E3316" s="26"/>
    </row>
    <row r="3317" spans="5:5" x14ac:dyDescent="0.2">
      <c r="E3317" s="26"/>
    </row>
    <row r="3318" spans="5:5" x14ac:dyDescent="0.2">
      <c r="E3318" s="26"/>
    </row>
    <row r="3319" spans="5:5" x14ac:dyDescent="0.2">
      <c r="E3319" s="26"/>
    </row>
    <row r="3320" spans="5:5" x14ac:dyDescent="0.2">
      <c r="E3320" s="26"/>
    </row>
    <row r="3321" spans="5:5" x14ac:dyDescent="0.2">
      <c r="E3321" s="26"/>
    </row>
    <row r="3322" spans="5:5" x14ac:dyDescent="0.2">
      <c r="E3322" s="26"/>
    </row>
    <row r="3323" spans="5:5" x14ac:dyDescent="0.2">
      <c r="E3323" s="26"/>
    </row>
    <row r="3324" spans="5:5" x14ac:dyDescent="0.2">
      <c r="E3324" s="26"/>
    </row>
    <row r="3325" spans="5:5" x14ac:dyDescent="0.2">
      <c r="E3325" s="26"/>
    </row>
    <row r="3326" spans="5:5" x14ac:dyDescent="0.2">
      <c r="E3326" s="26"/>
    </row>
    <row r="3327" spans="5:5" x14ac:dyDescent="0.2">
      <c r="E3327" s="26"/>
    </row>
    <row r="3328" spans="5:5" x14ac:dyDescent="0.2">
      <c r="E3328" s="26"/>
    </row>
    <row r="3329" spans="5:5" x14ac:dyDescent="0.2">
      <c r="E3329" s="2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252"/>
  <sheetViews>
    <sheetView topLeftCell="A188" workbookViewId="0">
      <selection activeCell="A236" sqref="A236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SUM(C3:C724)</f>
        <v>23603.660000000011</v>
      </c>
      <c r="D1" s="3">
        <f>SUM(D3:D724)</f>
        <v>1690.1600000000012</v>
      </c>
      <c r="F1" s="166">
        <f>SUM(F4:F724)</f>
        <v>13037.93</v>
      </c>
      <c r="G1" s="166">
        <f>SUM(G4:G724)</f>
        <v>12829.710000000003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18080</v>
      </c>
      <c r="B3" s="11">
        <v>42310</v>
      </c>
      <c r="C3" s="12">
        <v>25.93</v>
      </c>
      <c r="D3" s="12">
        <v>1.98</v>
      </c>
      <c r="E3" s="15" t="s">
        <v>7</v>
      </c>
      <c r="H3" s="10"/>
      <c r="I3" s="10"/>
    </row>
    <row r="4" spans="1:10" x14ac:dyDescent="0.2">
      <c r="A4" s="10">
        <v>18081</v>
      </c>
      <c r="B4" s="11">
        <v>42310</v>
      </c>
      <c r="C4" s="12">
        <v>16.18</v>
      </c>
      <c r="D4" s="12">
        <v>1.23</v>
      </c>
      <c r="E4" s="17"/>
      <c r="F4" s="12"/>
      <c r="G4" s="12"/>
      <c r="H4" s="12"/>
      <c r="I4" s="10"/>
    </row>
    <row r="5" spans="1:10" x14ac:dyDescent="0.2">
      <c r="A5" s="10">
        <v>18082</v>
      </c>
      <c r="B5" s="11">
        <v>42310</v>
      </c>
      <c r="C5" s="12">
        <v>21.05</v>
      </c>
      <c r="D5" s="12">
        <v>1.6</v>
      </c>
      <c r="E5" s="17"/>
      <c r="F5" s="12"/>
      <c r="G5" s="12"/>
      <c r="H5" s="12"/>
      <c r="I5" s="10"/>
    </row>
    <row r="6" spans="1:10" x14ac:dyDescent="0.2">
      <c r="A6" s="10">
        <v>18083</v>
      </c>
      <c r="B6" s="11">
        <v>42310</v>
      </c>
      <c r="C6" s="12">
        <v>5.36</v>
      </c>
      <c r="D6" s="12">
        <v>0.41</v>
      </c>
      <c r="E6" s="17"/>
      <c r="H6" s="12"/>
      <c r="I6" s="10"/>
    </row>
    <row r="7" spans="1:10" x14ac:dyDescent="0.2">
      <c r="A7" s="10">
        <v>18084</v>
      </c>
      <c r="B7" s="11">
        <v>42310</v>
      </c>
      <c r="C7" s="12">
        <v>184.03</v>
      </c>
      <c r="D7" s="12">
        <v>14.03</v>
      </c>
      <c r="E7" s="15"/>
      <c r="H7" s="10"/>
      <c r="I7" s="10"/>
    </row>
    <row r="8" spans="1:10" x14ac:dyDescent="0.2">
      <c r="A8" s="10">
        <v>18085</v>
      </c>
      <c r="B8" s="11">
        <v>42310</v>
      </c>
      <c r="C8" s="12">
        <v>152.63</v>
      </c>
      <c r="D8" s="12">
        <v>11.63</v>
      </c>
      <c r="E8" s="15" t="s">
        <v>11</v>
      </c>
      <c r="F8" s="34">
        <f>+C3+C8</f>
        <v>178.56</v>
      </c>
      <c r="G8" s="34">
        <v>177.12</v>
      </c>
      <c r="H8" s="10"/>
      <c r="I8" s="10"/>
    </row>
    <row r="9" spans="1:10" x14ac:dyDescent="0.2">
      <c r="A9" s="10">
        <v>18086</v>
      </c>
      <c r="B9" s="11">
        <v>42311</v>
      </c>
      <c r="C9" s="12">
        <v>25.98</v>
      </c>
      <c r="D9" s="12">
        <v>1.98</v>
      </c>
      <c r="E9" s="15" t="s">
        <v>11</v>
      </c>
      <c r="H9" s="10"/>
      <c r="I9" s="10"/>
    </row>
    <row r="10" spans="1:10" x14ac:dyDescent="0.2">
      <c r="A10" s="10">
        <v>18087</v>
      </c>
      <c r="B10" s="11">
        <v>42311</v>
      </c>
      <c r="C10" s="12">
        <v>152.63</v>
      </c>
      <c r="D10" s="12">
        <v>11.63</v>
      </c>
      <c r="E10" s="15" t="s">
        <v>11</v>
      </c>
      <c r="H10" s="10"/>
      <c r="I10" s="10"/>
    </row>
    <row r="11" spans="1:10" x14ac:dyDescent="0.2">
      <c r="A11" s="10">
        <v>18088</v>
      </c>
      <c r="B11" s="11">
        <v>42311</v>
      </c>
      <c r="C11" s="12">
        <v>196.47</v>
      </c>
      <c r="D11" s="12">
        <v>14.97</v>
      </c>
      <c r="E11" s="15"/>
      <c r="F11" s="21"/>
      <c r="G11" s="22"/>
      <c r="H11" s="10"/>
      <c r="I11" s="10"/>
    </row>
    <row r="12" spans="1:10" x14ac:dyDescent="0.2">
      <c r="A12" s="10">
        <v>18089</v>
      </c>
      <c r="B12" s="11">
        <v>42311</v>
      </c>
      <c r="C12" s="12">
        <v>13.53</v>
      </c>
      <c r="D12" s="12">
        <v>1.03</v>
      </c>
      <c r="E12" s="13"/>
      <c r="F12" s="18"/>
      <c r="G12" s="19"/>
      <c r="H12" s="12"/>
      <c r="I12" s="10"/>
    </row>
    <row r="13" spans="1:10" x14ac:dyDescent="0.2">
      <c r="A13" s="10">
        <v>18090</v>
      </c>
      <c r="B13" s="11">
        <v>42311</v>
      </c>
      <c r="C13" s="12">
        <v>166.71</v>
      </c>
      <c r="D13" s="12">
        <v>12.71</v>
      </c>
      <c r="E13" s="13"/>
      <c r="F13" s="18"/>
      <c r="G13" s="19"/>
      <c r="H13" s="12"/>
      <c r="I13" s="10"/>
    </row>
    <row r="14" spans="1:10" x14ac:dyDescent="0.2">
      <c r="A14" s="10">
        <v>18091</v>
      </c>
      <c r="B14" s="11">
        <v>42311</v>
      </c>
      <c r="C14" s="12">
        <v>172.12</v>
      </c>
      <c r="D14" s="12">
        <v>13.12</v>
      </c>
      <c r="E14" s="13"/>
      <c r="F14" s="18"/>
      <c r="G14" s="19"/>
      <c r="H14" s="12"/>
      <c r="I14" s="10"/>
    </row>
    <row r="15" spans="1:10" x14ac:dyDescent="0.2">
      <c r="A15" s="10">
        <v>18092</v>
      </c>
      <c r="B15" s="11">
        <v>42311</v>
      </c>
      <c r="C15" s="12">
        <v>20.57</v>
      </c>
      <c r="D15" s="12">
        <v>1.57</v>
      </c>
      <c r="E15" s="15" t="s">
        <v>7</v>
      </c>
      <c r="H15" s="10"/>
      <c r="I15" s="10"/>
    </row>
    <row r="16" spans="1:10" x14ac:dyDescent="0.2">
      <c r="A16" s="10">
        <v>18093</v>
      </c>
      <c r="B16" s="11">
        <v>42311</v>
      </c>
      <c r="C16" s="12">
        <v>56.29</v>
      </c>
      <c r="D16" s="12">
        <v>4.29</v>
      </c>
      <c r="E16" s="15" t="s">
        <v>7</v>
      </c>
      <c r="H16" s="10"/>
      <c r="I16" s="10"/>
    </row>
    <row r="17" spans="1:11" x14ac:dyDescent="0.2">
      <c r="A17" s="10">
        <v>18094</v>
      </c>
      <c r="B17" s="11">
        <v>42311</v>
      </c>
      <c r="C17" s="12">
        <v>240.86</v>
      </c>
      <c r="D17" s="12">
        <v>18.36</v>
      </c>
      <c r="E17" s="15" t="s">
        <v>11</v>
      </c>
      <c r="F17" s="21"/>
      <c r="G17" s="22"/>
      <c r="H17" s="10"/>
      <c r="I17" s="10"/>
    </row>
    <row r="18" spans="1:11" x14ac:dyDescent="0.2">
      <c r="A18" s="10">
        <v>18095</v>
      </c>
      <c r="B18" s="11">
        <v>42311</v>
      </c>
      <c r="C18" s="12">
        <v>78.97</v>
      </c>
      <c r="D18" s="12">
        <v>6.02</v>
      </c>
      <c r="E18" s="15" t="s">
        <v>11</v>
      </c>
      <c r="F18" s="21"/>
      <c r="G18" s="22"/>
      <c r="H18" s="10"/>
      <c r="I18" s="10"/>
    </row>
    <row r="19" spans="1:11" x14ac:dyDescent="0.2">
      <c r="A19" s="10">
        <v>18096</v>
      </c>
      <c r="B19" s="11">
        <v>42311</v>
      </c>
      <c r="C19" s="12">
        <v>20</v>
      </c>
      <c r="D19" s="12">
        <v>1.52</v>
      </c>
      <c r="E19" s="15" t="s">
        <v>87</v>
      </c>
      <c r="H19" s="10"/>
      <c r="I19" s="10"/>
    </row>
    <row r="20" spans="1:11" x14ac:dyDescent="0.2">
      <c r="A20" s="10">
        <v>18097</v>
      </c>
      <c r="B20" s="11">
        <v>42311</v>
      </c>
      <c r="C20" s="12">
        <v>24.9</v>
      </c>
      <c r="D20" s="12">
        <v>1.9</v>
      </c>
      <c r="E20" s="15" t="s">
        <v>11</v>
      </c>
      <c r="F20" s="21"/>
      <c r="G20" s="22"/>
      <c r="H20" s="10"/>
      <c r="I20" s="10"/>
    </row>
    <row r="21" spans="1:11" x14ac:dyDescent="0.2">
      <c r="A21" s="10">
        <v>18098</v>
      </c>
      <c r="B21" s="11">
        <v>42311</v>
      </c>
      <c r="C21" s="12">
        <v>38.700000000000003</v>
      </c>
      <c r="D21" s="12">
        <v>2.95</v>
      </c>
      <c r="E21" s="15" t="s">
        <v>11</v>
      </c>
      <c r="H21" s="10"/>
      <c r="I21" s="10"/>
    </row>
    <row r="22" spans="1:11" x14ac:dyDescent="0.2">
      <c r="A22" s="10">
        <v>18099</v>
      </c>
      <c r="B22" s="11">
        <v>42311</v>
      </c>
      <c r="C22" s="12">
        <v>85</v>
      </c>
      <c r="D22" s="12"/>
      <c r="E22" s="13" t="s">
        <v>19</v>
      </c>
      <c r="F22" s="34">
        <f>+C9+C10+C15+C16+C20+C21+C17</f>
        <v>559.92999999999995</v>
      </c>
      <c r="G22" s="34">
        <v>551.54999999999995</v>
      </c>
      <c r="H22" s="12"/>
      <c r="I22" s="10"/>
    </row>
    <row r="23" spans="1:11" x14ac:dyDescent="0.2">
      <c r="A23" s="10">
        <v>18100</v>
      </c>
      <c r="B23" s="11">
        <v>42312</v>
      </c>
      <c r="C23" s="12">
        <v>86.6</v>
      </c>
      <c r="D23" s="12">
        <v>6.6</v>
      </c>
      <c r="E23" s="15" t="s">
        <v>11</v>
      </c>
      <c r="F23" s="21"/>
      <c r="G23" s="22"/>
      <c r="H23" s="10"/>
      <c r="I23" s="10"/>
    </row>
    <row r="24" spans="1:11" x14ac:dyDescent="0.2">
      <c r="A24" s="10">
        <v>18101</v>
      </c>
      <c r="B24" s="11">
        <v>42312</v>
      </c>
      <c r="C24" s="12">
        <v>43.3</v>
      </c>
      <c r="D24" s="12">
        <v>3.3</v>
      </c>
      <c r="E24" s="15" t="s">
        <v>11</v>
      </c>
      <c r="H24" s="10"/>
      <c r="I24" s="10"/>
    </row>
    <row r="25" spans="1:11" x14ac:dyDescent="0.2">
      <c r="A25" s="10">
        <v>18102</v>
      </c>
      <c r="B25" s="11">
        <v>42312</v>
      </c>
      <c r="C25" s="12">
        <v>238.69</v>
      </c>
      <c r="D25" s="12">
        <v>18.190000000000001</v>
      </c>
      <c r="E25" s="15" t="s">
        <v>21</v>
      </c>
      <c r="H25" s="10"/>
      <c r="I25" s="10"/>
    </row>
    <row r="26" spans="1:11" x14ac:dyDescent="0.2">
      <c r="A26" s="10">
        <v>18103</v>
      </c>
      <c r="B26" s="11">
        <v>42312</v>
      </c>
      <c r="C26" s="12">
        <v>283.62</v>
      </c>
      <c r="D26" s="12">
        <v>21.62</v>
      </c>
      <c r="E26" s="15" t="s">
        <v>11</v>
      </c>
      <c r="H26" s="10"/>
      <c r="I26" s="10"/>
    </row>
    <row r="27" spans="1:11" x14ac:dyDescent="0.2">
      <c r="A27" s="10">
        <v>18104</v>
      </c>
      <c r="B27" s="11">
        <v>42312</v>
      </c>
      <c r="C27" s="12">
        <v>7.04</v>
      </c>
      <c r="D27" s="12">
        <v>0.54</v>
      </c>
      <c r="E27" s="17"/>
      <c r="F27" s="18"/>
      <c r="G27" s="19"/>
      <c r="H27" s="12"/>
      <c r="I27" s="10"/>
    </row>
    <row r="28" spans="1:11" x14ac:dyDescent="0.2">
      <c r="A28" s="10">
        <v>18105</v>
      </c>
      <c r="B28" s="11">
        <v>42312</v>
      </c>
      <c r="C28" s="12">
        <v>273.87</v>
      </c>
      <c r="D28" s="12">
        <v>20.87</v>
      </c>
      <c r="E28" s="15"/>
      <c r="F28" s="21"/>
      <c r="G28" s="22"/>
      <c r="H28" s="10"/>
      <c r="I28" s="10"/>
    </row>
    <row r="29" spans="1:11" x14ac:dyDescent="0.2">
      <c r="A29" s="10">
        <v>18106</v>
      </c>
      <c r="B29" s="11">
        <v>42312</v>
      </c>
      <c r="C29" s="12">
        <v>14.559999999999999</v>
      </c>
      <c r="D29" s="12">
        <v>1.1100000000000001</v>
      </c>
      <c r="E29" s="15" t="s">
        <v>11</v>
      </c>
      <c r="F29" s="16"/>
      <c r="G29" s="16"/>
      <c r="H29" s="16"/>
      <c r="I29" s="16"/>
      <c r="J29" s="8"/>
      <c r="K29" s="150"/>
    </row>
    <row r="30" spans="1:11" x14ac:dyDescent="0.2">
      <c r="A30" s="10">
        <v>18107</v>
      </c>
      <c r="B30" s="11">
        <v>42312</v>
      </c>
      <c r="C30" s="12">
        <v>21.65</v>
      </c>
      <c r="D30" s="12">
        <v>1.65</v>
      </c>
      <c r="E30" s="12"/>
      <c r="H30" s="14"/>
      <c r="I30" s="16"/>
      <c r="J30" s="8"/>
      <c r="K30" s="150"/>
    </row>
    <row r="31" spans="1:11" x14ac:dyDescent="0.2">
      <c r="A31" s="10">
        <v>18108</v>
      </c>
      <c r="B31" s="11">
        <v>42312</v>
      </c>
      <c r="C31" s="12">
        <v>134.22999999999999</v>
      </c>
      <c r="D31" s="12">
        <v>10.23</v>
      </c>
      <c r="E31" s="15" t="s">
        <v>11</v>
      </c>
      <c r="H31" s="16"/>
      <c r="I31" s="16"/>
      <c r="J31" s="8"/>
      <c r="K31" s="150"/>
    </row>
    <row r="32" spans="1:11" x14ac:dyDescent="0.2">
      <c r="A32" s="10">
        <v>18109</v>
      </c>
      <c r="B32" s="11">
        <v>42312</v>
      </c>
      <c r="C32" s="12">
        <v>0</v>
      </c>
      <c r="D32" s="12">
        <v>0</v>
      </c>
      <c r="E32" s="15" t="s">
        <v>494</v>
      </c>
      <c r="F32" s="21"/>
      <c r="G32" s="22"/>
      <c r="H32" s="16"/>
      <c r="I32" s="16"/>
      <c r="J32" s="8"/>
      <c r="K32" s="150"/>
    </row>
    <row r="33" spans="1:11" x14ac:dyDescent="0.2">
      <c r="A33" s="10">
        <v>18110</v>
      </c>
      <c r="B33" s="11">
        <v>42312</v>
      </c>
      <c r="C33" s="12">
        <v>108.14</v>
      </c>
      <c r="D33" s="12">
        <v>8.24</v>
      </c>
      <c r="E33" s="15" t="s">
        <v>11</v>
      </c>
      <c r="F33" s="34">
        <f>+C23+C24+C29+C33+C18+C31</f>
        <v>465.79999999999995</v>
      </c>
      <c r="G33" s="34">
        <v>460.99</v>
      </c>
      <c r="H33" s="16"/>
      <c r="I33" s="16"/>
      <c r="J33" s="8"/>
      <c r="K33" s="150"/>
    </row>
    <row r="34" spans="1:11" x14ac:dyDescent="0.2">
      <c r="A34" s="10">
        <v>18111</v>
      </c>
      <c r="B34" s="11">
        <v>42313</v>
      </c>
      <c r="C34" s="12">
        <v>47.63</v>
      </c>
      <c r="D34" s="12">
        <v>3.63</v>
      </c>
      <c r="E34" s="17"/>
      <c r="F34" s="18"/>
      <c r="G34" s="19"/>
      <c r="H34" s="14"/>
      <c r="I34" s="16"/>
      <c r="J34" s="8"/>
      <c r="K34" s="150"/>
    </row>
    <row r="35" spans="1:11" x14ac:dyDescent="0.2">
      <c r="A35" s="10">
        <v>18112</v>
      </c>
      <c r="B35" s="11">
        <v>42313</v>
      </c>
      <c r="C35" s="12">
        <v>20</v>
      </c>
      <c r="D35" s="12">
        <v>1.52</v>
      </c>
      <c r="E35" s="17"/>
      <c r="F35" s="18"/>
      <c r="G35" s="19"/>
      <c r="H35" s="14"/>
      <c r="I35" s="16"/>
      <c r="J35" s="8"/>
      <c r="K35" s="150"/>
    </row>
    <row r="36" spans="1:11" x14ac:dyDescent="0.2">
      <c r="A36" s="10">
        <v>18113</v>
      </c>
      <c r="B36" s="11">
        <v>42313</v>
      </c>
      <c r="C36" s="12">
        <v>25</v>
      </c>
      <c r="D36" s="12">
        <v>1.91</v>
      </c>
      <c r="E36" s="17"/>
      <c r="H36" s="14"/>
      <c r="I36" s="16"/>
      <c r="J36" s="8"/>
      <c r="K36" s="150"/>
    </row>
    <row r="37" spans="1:11" x14ac:dyDescent="0.2">
      <c r="A37" s="10">
        <v>18114</v>
      </c>
      <c r="B37" s="11">
        <v>42313</v>
      </c>
      <c r="C37" s="12">
        <v>279</v>
      </c>
      <c r="D37" s="12"/>
      <c r="E37" s="15" t="s">
        <v>495</v>
      </c>
      <c r="H37" s="16"/>
      <c r="I37" s="16"/>
      <c r="J37" s="8"/>
      <c r="K37" s="150"/>
    </row>
    <row r="38" spans="1:11" x14ac:dyDescent="0.2">
      <c r="A38" s="10">
        <v>18115</v>
      </c>
      <c r="B38" s="11">
        <v>42313</v>
      </c>
      <c r="C38" s="12">
        <v>59.54</v>
      </c>
      <c r="D38" s="12">
        <v>4.54</v>
      </c>
      <c r="E38" s="15" t="s">
        <v>11</v>
      </c>
      <c r="H38" s="16"/>
      <c r="I38" s="16"/>
      <c r="J38" s="8"/>
      <c r="K38" s="150"/>
    </row>
    <row r="39" spans="1:11" x14ac:dyDescent="0.2">
      <c r="A39" s="10">
        <v>18116</v>
      </c>
      <c r="B39" s="11">
        <v>42313</v>
      </c>
      <c r="C39" s="12">
        <v>344.78</v>
      </c>
      <c r="D39" s="12">
        <v>26.28</v>
      </c>
      <c r="E39" s="15"/>
      <c r="H39" s="16"/>
      <c r="I39" s="16"/>
      <c r="J39" s="8"/>
      <c r="K39" s="150"/>
    </row>
    <row r="40" spans="1:11" x14ac:dyDescent="0.2">
      <c r="A40" s="10">
        <v>18117</v>
      </c>
      <c r="B40" s="11">
        <v>42313</v>
      </c>
      <c r="C40" s="12">
        <v>21.599999999999998</v>
      </c>
      <c r="D40" s="12">
        <v>1.65</v>
      </c>
      <c r="E40" s="17"/>
      <c r="F40" s="18"/>
      <c r="G40" s="19"/>
      <c r="H40" s="14"/>
      <c r="I40" s="16"/>
      <c r="J40" s="8"/>
      <c r="K40" s="150"/>
    </row>
    <row r="41" spans="1:11" x14ac:dyDescent="0.2">
      <c r="A41" s="10">
        <v>18118</v>
      </c>
      <c r="B41" s="11">
        <v>42313</v>
      </c>
      <c r="C41" s="12">
        <v>323.13</v>
      </c>
      <c r="D41" s="12">
        <v>24.63</v>
      </c>
      <c r="E41" s="17"/>
      <c r="F41" s="18"/>
      <c r="G41" s="19"/>
      <c r="H41" s="14"/>
      <c r="I41" s="16"/>
      <c r="J41" s="8"/>
      <c r="K41" s="150"/>
    </row>
    <row r="42" spans="1:11" x14ac:dyDescent="0.2">
      <c r="A42" s="10">
        <v>18119</v>
      </c>
      <c r="B42" s="11">
        <v>42313</v>
      </c>
      <c r="C42" s="12">
        <v>1.62</v>
      </c>
      <c r="D42" s="12">
        <v>0.12</v>
      </c>
      <c r="E42" s="17"/>
      <c r="F42" s="18"/>
      <c r="G42" s="19"/>
      <c r="H42" s="14"/>
      <c r="I42" s="16"/>
      <c r="J42" s="8"/>
      <c r="K42" s="150"/>
    </row>
    <row r="43" spans="1:11" x14ac:dyDescent="0.2">
      <c r="A43" s="10">
        <v>18120</v>
      </c>
      <c r="B43" s="11">
        <v>42313</v>
      </c>
      <c r="C43" s="12">
        <v>59.54</v>
      </c>
      <c r="D43" s="12">
        <v>4.54</v>
      </c>
      <c r="E43" s="15" t="s">
        <v>11</v>
      </c>
      <c r="F43" s="21"/>
      <c r="G43" s="22"/>
      <c r="H43" s="16"/>
      <c r="I43" s="16"/>
      <c r="J43" s="8"/>
      <c r="K43" s="150"/>
    </row>
    <row r="44" spans="1:11" x14ac:dyDescent="0.2">
      <c r="A44" s="10">
        <v>18121</v>
      </c>
      <c r="B44" s="11">
        <v>42313</v>
      </c>
      <c r="C44" s="12">
        <v>126.65</v>
      </c>
      <c r="D44" s="12">
        <v>9.65</v>
      </c>
      <c r="E44" s="17"/>
      <c r="H44" s="14"/>
      <c r="I44" s="16"/>
      <c r="J44" s="8"/>
      <c r="K44" s="150"/>
    </row>
    <row r="45" spans="1:11" x14ac:dyDescent="0.2">
      <c r="A45" s="10">
        <v>18122</v>
      </c>
      <c r="B45" s="11">
        <v>42313</v>
      </c>
      <c r="C45" s="12">
        <v>484</v>
      </c>
      <c r="D45" s="12">
        <v>36.89</v>
      </c>
      <c r="E45" s="15" t="s">
        <v>7</v>
      </c>
      <c r="F45" s="21"/>
      <c r="G45" s="22"/>
      <c r="H45" s="16"/>
      <c r="I45" s="16"/>
      <c r="J45" s="8"/>
      <c r="K45" s="150"/>
    </row>
    <row r="46" spans="1:11" x14ac:dyDescent="0.2">
      <c r="A46" s="10">
        <v>18123</v>
      </c>
      <c r="B46" s="11">
        <v>42313</v>
      </c>
      <c r="C46" s="12">
        <v>86.6</v>
      </c>
      <c r="D46" s="12">
        <v>6.6</v>
      </c>
      <c r="E46" s="15" t="s">
        <v>11</v>
      </c>
      <c r="F46" s="34">
        <f>+C37+C43+C38+C45+C46</f>
        <v>968.68000000000006</v>
      </c>
      <c r="G46" s="34">
        <v>950.03</v>
      </c>
      <c r="H46" s="16"/>
      <c r="I46" s="16"/>
      <c r="J46" s="8"/>
      <c r="K46" s="150"/>
    </row>
    <row r="47" spans="1:11" x14ac:dyDescent="0.2">
      <c r="A47" s="10">
        <v>18124</v>
      </c>
      <c r="B47" s="11">
        <v>42314</v>
      </c>
      <c r="C47" s="12">
        <v>117.99</v>
      </c>
      <c r="D47" s="12">
        <v>8.99</v>
      </c>
      <c r="E47" s="15" t="s">
        <v>11</v>
      </c>
      <c r="H47" s="16"/>
      <c r="I47" s="16"/>
      <c r="J47" s="8"/>
      <c r="K47" s="150"/>
    </row>
    <row r="48" spans="1:11" x14ac:dyDescent="0.2">
      <c r="A48" s="10">
        <v>18125</v>
      </c>
      <c r="B48" s="11">
        <v>42314</v>
      </c>
      <c r="C48" s="12">
        <v>46.44</v>
      </c>
      <c r="D48" s="12">
        <v>3.54</v>
      </c>
      <c r="E48" s="17"/>
      <c r="F48" s="18"/>
      <c r="G48" s="19"/>
      <c r="H48" s="14"/>
      <c r="I48" s="16"/>
      <c r="J48" s="8"/>
      <c r="K48" s="150"/>
    </row>
    <row r="49" spans="1:11" x14ac:dyDescent="0.2">
      <c r="A49" s="10">
        <v>18126</v>
      </c>
      <c r="B49" s="11">
        <v>42314</v>
      </c>
      <c r="C49" s="12">
        <v>11.81</v>
      </c>
      <c r="D49" s="12"/>
      <c r="E49" s="15" t="s">
        <v>496</v>
      </c>
      <c r="F49" s="21"/>
      <c r="G49" s="22"/>
      <c r="H49" s="16"/>
      <c r="I49" s="16"/>
      <c r="J49" s="8"/>
      <c r="K49" s="150"/>
    </row>
    <row r="50" spans="1:11" x14ac:dyDescent="0.2">
      <c r="A50" s="10">
        <v>18127</v>
      </c>
      <c r="B50" s="11">
        <v>42314</v>
      </c>
      <c r="C50" s="12">
        <v>8.66</v>
      </c>
      <c r="D50" s="12">
        <v>0.66</v>
      </c>
      <c r="E50" s="17"/>
      <c r="F50" s="34">
        <f>+C47+C49</f>
        <v>129.79999999999998</v>
      </c>
      <c r="G50" s="34">
        <v>126.94</v>
      </c>
      <c r="H50" s="14"/>
      <c r="I50" s="16"/>
      <c r="J50" s="8"/>
      <c r="K50" s="150"/>
    </row>
    <row r="51" spans="1:11" x14ac:dyDescent="0.2">
      <c r="A51" s="10">
        <v>18128</v>
      </c>
      <c r="B51" s="11">
        <v>42315</v>
      </c>
      <c r="C51" s="12">
        <v>43.3</v>
      </c>
      <c r="D51" s="12">
        <v>3.3</v>
      </c>
      <c r="E51" s="15" t="s">
        <v>11</v>
      </c>
      <c r="F51" s="21"/>
      <c r="G51" s="22"/>
      <c r="H51" s="16"/>
      <c r="I51" s="16"/>
      <c r="J51" s="8"/>
      <c r="K51" s="150"/>
    </row>
    <row r="52" spans="1:11" x14ac:dyDescent="0.2">
      <c r="A52" s="10">
        <v>18129</v>
      </c>
      <c r="B52" s="11">
        <v>42315</v>
      </c>
      <c r="C52" s="12">
        <v>87.47</v>
      </c>
      <c r="D52" s="12">
        <v>6.67</v>
      </c>
      <c r="E52" s="15" t="s">
        <v>11</v>
      </c>
      <c r="H52" s="16"/>
      <c r="I52" s="16"/>
      <c r="J52" s="8"/>
      <c r="K52" s="150"/>
    </row>
    <row r="53" spans="1:11" x14ac:dyDescent="0.2">
      <c r="A53" s="10">
        <v>18130</v>
      </c>
      <c r="B53" s="11">
        <v>42315</v>
      </c>
      <c r="C53" s="12">
        <v>0</v>
      </c>
      <c r="D53" s="12">
        <v>0</v>
      </c>
      <c r="E53" s="15" t="s">
        <v>497</v>
      </c>
      <c r="H53" s="16"/>
      <c r="I53" s="16"/>
      <c r="J53" s="8"/>
      <c r="K53" s="150"/>
    </row>
    <row r="54" spans="1:11" x14ac:dyDescent="0.2">
      <c r="A54" s="10">
        <v>18131</v>
      </c>
      <c r="B54" s="11">
        <v>42315</v>
      </c>
      <c r="C54" s="12">
        <v>334</v>
      </c>
      <c r="D54" s="12"/>
      <c r="E54" s="15" t="s">
        <v>19</v>
      </c>
      <c r="H54" s="16"/>
      <c r="I54" s="16"/>
      <c r="J54" s="8"/>
      <c r="K54" s="150"/>
    </row>
    <row r="55" spans="1:11" x14ac:dyDescent="0.2">
      <c r="A55" s="10">
        <v>18132</v>
      </c>
      <c r="B55" s="11">
        <v>42315</v>
      </c>
      <c r="C55" s="12">
        <v>35.67</v>
      </c>
      <c r="D55" s="12">
        <v>2.72</v>
      </c>
      <c r="E55" s="17"/>
      <c r="H55" s="14"/>
      <c r="I55" s="16"/>
      <c r="J55" s="8"/>
      <c r="K55" s="150"/>
    </row>
    <row r="56" spans="1:11" x14ac:dyDescent="0.2">
      <c r="A56" s="10">
        <v>18133</v>
      </c>
      <c r="B56" s="11">
        <v>42316</v>
      </c>
      <c r="C56" s="12">
        <v>53.010000000000005</v>
      </c>
      <c r="D56" s="12">
        <v>4.04</v>
      </c>
      <c r="E56" s="17"/>
      <c r="F56" s="18"/>
      <c r="G56" s="19"/>
      <c r="H56" s="14"/>
      <c r="I56" s="16"/>
      <c r="J56" s="8"/>
      <c r="K56" s="150"/>
    </row>
    <row r="57" spans="1:11" x14ac:dyDescent="0.2">
      <c r="A57" s="10">
        <v>18134</v>
      </c>
      <c r="B57" s="11">
        <v>42316</v>
      </c>
      <c r="C57" s="12">
        <v>8</v>
      </c>
      <c r="D57" s="12">
        <v>0.61</v>
      </c>
      <c r="E57" s="17"/>
      <c r="F57" s="34">
        <f>+C51+C52+238.69</f>
        <v>369.46</v>
      </c>
      <c r="G57" s="34">
        <v>362.01</v>
      </c>
      <c r="H57" s="14"/>
      <c r="I57" s="16"/>
      <c r="J57" s="8"/>
      <c r="K57" s="150"/>
    </row>
    <row r="58" spans="1:11" x14ac:dyDescent="0.2">
      <c r="A58" s="10">
        <v>18135</v>
      </c>
      <c r="B58" s="11">
        <v>42317</v>
      </c>
      <c r="C58" s="12">
        <v>173.74</v>
      </c>
      <c r="D58" s="12">
        <v>13.24</v>
      </c>
      <c r="E58" s="17"/>
      <c r="F58" s="18"/>
      <c r="G58" s="19"/>
      <c r="H58" s="14"/>
      <c r="I58" s="16"/>
      <c r="J58" s="8"/>
      <c r="K58" s="150"/>
    </row>
    <row r="59" spans="1:11" x14ac:dyDescent="0.2">
      <c r="A59" s="10">
        <v>18136</v>
      </c>
      <c r="B59" s="11">
        <v>42317</v>
      </c>
      <c r="C59" s="12">
        <v>52</v>
      </c>
      <c r="D59" s="12"/>
      <c r="E59" s="17"/>
      <c r="F59" s="18"/>
      <c r="G59" s="19"/>
      <c r="H59" s="14"/>
      <c r="I59" s="16"/>
      <c r="J59" s="8"/>
      <c r="K59" s="150"/>
    </row>
    <row r="60" spans="1:11" x14ac:dyDescent="0.2">
      <c r="A60" s="10">
        <v>18137</v>
      </c>
      <c r="B60" s="11">
        <v>42317</v>
      </c>
      <c r="C60" s="12">
        <v>85.52</v>
      </c>
      <c r="D60" s="12">
        <v>6.52</v>
      </c>
      <c r="E60" s="15" t="s">
        <v>11</v>
      </c>
      <c r="F60" s="21"/>
      <c r="G60" s="22"/>
      <c r="H60" s="16"/>
      <c r="I60" s="16"/>
      <c r="J60" s="8"/>
      <c r="K60" s="150"/>
    </row>
    <row r="61" spans="1:11" x14ac:dyDescent="0.2">
      <c r="A61" s="10">
        <v>18138</v>
      </c>
      <c r="B61" s="11">
        <v>42317</v>
      </c>
      <c r="C61" s="12">
        <v>208.92</v>
      </c>
      <c r="D61" s="12">
        <v>15.92</v>
      </c>
      <c r="E61" s="15" t="s">
        <v>11</v>
      </c>
      <c r="F61" s="21"/>
      <c r="G61" s="22"/>
      <c r="H61" s="16"/>
      <c r="I61" s="16"/>
      <c r="J61" s="8"/>
      <c r="K61" s="150"/>
    </row>
    <row r="62" spans="1:11" x14ac:dyDescent="0.2">
      <c r="A62" s="10">
        <v>18139</v>
      </c>
      <c r="B62" s="11">
        <v>42317</v>
      </c>
      <c r="C62" s="12">
        <v>45.360000000000007</v>
      </c>
      <c r="D62" s="12">
        <v>3.46</v>
      </c>
      <c r="E62" s="15" t="s">
        <v>11</v>
      </c>
      <c r="F62" s="21"/>
      <c r="G62" s="22"/>
      <c r="H62" s="16"/>
      <c r="I62" s="16"/>
      <c r="J62" s="8"/>
      <c r="K62" s="150"/>
    </row>
    <row r="63" spans="1:11" x14ac:dyDescent="0.2">
      <c r="A63" s="10">
        <v>18140</v>
      </c>
      <c r="B63" s="11">
        <v>42317</v>
      </c>
      <c r="C63" s="12">
        <v>22.57</v>
      </c>
      <c r="D63" s="12">
        <v>1.72</v>
      </c>
      <c r="E63" s="15" t="s">
        <v>11</v>
      </c>
      <c r="H63" s="16"/>
      <c r="I63" s="16"/>
      <c r="J63" s="8"/>
      <c r="K63" s="150"/>
    </row>
    <row r="64" spans="1:11" x14ac:dyDescent="0.2">
      <c r="A64" s="10">
        <v>18141</v>
      </c>
      <c r="B64" s="11">
        <v>42317</v>
      </c>
      <c r="C64" s="12">
        <v>194.31</v>
      </c>
      <c r="D64" s="12">
        <v>14.81</v>
      </c>
      <c r="E64" s="15" t="s">
        <v>11</v>
      </c>
      <c r="F64" s="21"/>
      <c r="G64" s="22"/>
      <c r="H64" s="16"/>
      <c r="I64" s="16"/>
      <c r="J64" s="8"/>
      <c r="K64" s="150"/>
    </row>
    <row r="65" spans="1:11" x14ac:dyDescent="0.2">
      <c r="A65" s="10">
        <v>18142</v>
      </c>
      <c r="B65" s="11">
        <v>42317</v>
      </c>
      <c r="C65" s="12">
        <v>383.75</v>
      </c>
      <c r="D65" s="12">
        <v>29.25</v>
      </c>
      <c r="E65" s="15" t="s">
        <v>7</v>
      </c>
      <c r="H65" s="16"/>
      <c r="I65" s="16"/>
      <c r="J65" s="8"/>
      <c r="K65" s="150"/>
    </row>
    <row r="66" spans="1:11" x14ac:dyDescent="0.2">
      <c r="A66" s="10">
        <v>18143</v>
      </c>
      <c r="B66" s="11">
        <v>42317</v>
      </c>
      <c r="C66" s="12">
        <v>0</v>
      </c>
      <c r="D66" s="12">
        <v>0</v>
      </c>
      <c r="E66" s="13" t="s">
        <v>498</v>
      </c>
      <c r="H66" s="14"/>
      <c r="I66" s="16"/>
      <c r="J66" s="8"/>
      <c r="K66" s="150"/>
    </row>
    <row r="67" spans="1:11" x14ac:dyDescent="0.2">
      <c r="A67" s="10">
        <v>18144</v>
      </c>
      <c r="B67" s="11">
        <v>42317</v>
      </c>
      <c r="C67" s="12">
        <v>60.62</v>
      </c>
      <c r="D67" s="12">
        <v>4.62</v>
      </c>
      <c r="E67" s="15" t="s">
        <v>11</v>
      </c>
      <c r="F67" s="21"/>
      <c r="G67" s="22"/>
      <c r="H67" s="16"/>
      <c r="I67" s="16"/>
      <c r="J67" s="8"/>
      <c r="K67" s="150"/>
    </row>
    <row r="68" spans="1:11" x14ac:dyDescent="0.2">
      <c r="A68" s="10">
        <v>18145</v>
      </c>
      <c r="B68" s="11">
        <v>42317</v>
      </c>
      <c r="C68" s="12">
        <v>609.99</v>
      </c>
      <c r="D68" s="12">
        <v>46.49</v>
      </c>
      <c r="E68" s="15" t="s">
        <v>7</v>
      </c>
      <c r="H68" s="16"/>
      <c r="I68" s="16"/>
      <c r="J68" s="8"/>
      <c r="K68" s="150"/>
    </row>
    <row r="69" spans="1:11" x14ac:dyDescent="0.2">
      <c r="A69" s="10">
        <v>18146</v>
      </c>
      <c r="B69" s="11">
        <v>42317</v>
      </c>
      <c r="C69" s="12">
        <v>410</v>
      </c>
      <c r="D69" s="12">
        <v>31.25</v>
      </c>
      <c r="E69" s="15"/>
      <c r="H69" s="16"/>
      <c r="I69" s="16"/>
      <c r="J69" s="8"/>
      <c r="K69" s="150"/>
    </row>
    <row r="70" spans="1:11" x14ac:dyDescent="0.2">
      <c r="A70" s="10">
        <v>18147</v>
      </c>
      <c r="B70" s="11">
        <v>42317</v>
      </c>
      <c r="C70" s="12">
        <v>119.08</v>
      </c>
      <c r="D70" s="12">
        <v>9.08</v>
      </c>
      <c r="E70" s="15" t="s">
        <v>11</v>
      </c>
      <c r="H70" s="16"/>
      <c r="I70" s="16"/>
      <c r="J70" s="8"/>
      <c r="K70" s="150"/>
    </row>
    <row r="71" spans="1:11" x14ac:dyDescent="0.2">
      <c r="A71" s="10">
        <v>18148</v>
      </c>
      <c r="B71" s="11">
        <v>42317</v>
      </c>
      <c r="C71" s="12">
        <v>16.18</v>
      </c>
      <c r="D71" s="12">
        <v>1.23</v>
      </c>
      <c r="E71" s="15"/>
      <c r="F71" s="21"/>
      <c r="G71" s="22"/>
      <c r="H71" s="16"/>
      <c r="I71" s="16"/>
      <c r="J71" s="8"/>
      <c r="K71" s="150"/>
    </row>
    <row r="72" spans="1:11" x14ac:dyDescent="0.2">
      <c r="A72" s="10">
        <v>18149</v>
      </c>
      <c r="B72" s="11">
        <v>42317</v>
      </c>
      <c r="C72" s="12">
        <v>56.29</v>
      </c>
      <c r="D72" s="12">
        <v>4.29</v>
      </c>
      <c r="E72" s="17"/>
      <c r="F72" s="18"/>
      <c r="G72" s="19"/>
      <c r="H72" s="14"/>
      <c r="I72" s="16"/>
      <c r="J72" s="8"/>
      <c r="K72" s="150"/>
    </row>
    <row r="73" spans="1:11" x14ac:dyDescent="0.2">
      <c r="A73" s="10">
        <v>18150</v>
      </c>
      <c r="B73" s="11">
        <v>42317</v>
      </c>
      <c r="C73" s="12">
        <v>394.03</v>
      </c>
      <c r="D73" s="12">
        <v>30.03</v>
      </c>
      <c r="E73" s="13" t="s">
        <v>499</v>
      </c>
      <c r="H73" s="14"/>
      <c r="I73" s="16"/>
      <c r="J73" s="8"/>
      <c r="K73" s="150"/>
    </row>
    <row r="74" spans="1:11" x14ac:dyDescent="0.2">
      <c r="A74" s="10">
        <v>18151</v>
      </c>
      <c r="B74" s="11">
        <v>42317</v>
      </c>
      <c r="C74" s="12">
        <v>21.65</v>
      </c>
      <c r="D74" s="12">
        <v>1.65</v>
      </c>
      <c r="E74" s="17"/>
      <c r="H74" s="14"/>
      <c r="I74" s="16"/>
      <c r="J74" s="8"/>
      <c r="K74" s="150"/>
    </row>
    <row r="75" spans="1:11" x14ac:dyDescent="0.2">
      <c r="A75" s="10">
        <v>18152</v>
      </c>
      <c r="B75" s="11">
        <v>42317</v>
      </c>
      <c r="C75" s="12">
        <v>178</v>
      </c>
      <c r="D75" s="12">
        <v>13.57</v>
      </c>
      <c r="E75" s="15" t="s">
        <v>21</v>
      </c>
      <c r="H75" s="16"/>
      <c r="I75" s="16"/>
      <c r="J75" s="8"/>
      <c r="K75" s="150"/>
    </row>
    <row r="76" spans="1:11" x14ac:dyDescent="0.2">
      <c r="A76" s="10">
        <v>18153</v>
      </c>
      <c r="B76" s="11">
        <v>42317</v>
      </c>
      <c r="C76" s="12">
        <v>0</v>
      </c>
      <c r="D76" s="12">
        <v>0</v>
      </c>
      <c r="E76" s="13" t="s">
        <v>500</v>
      </c>
      <c r="F76" s="34">
        <f>+C60+C61+C62+C63+C65+C67+C70+C71</f>
        <v>942</v>
      </c>
      <c r="G76" s="34">
        <v>908.5</v>
      </c>
      <c r="H76" s="14"/>
      <c r="I76" s="16"/>
      <c r="J76" s="8"/>
      <c r="K76" s="150"/>
    </row>
    <row r="77" spans="1:11" x14ac:dyDescent="0.2">
      <c r="A77" s="10">
        <v>18154</v>
      </c>
      <c r="B77" s="11">
        <v>42318</v>
      </c>
      <c r="C77" s="12">
        <v>16.18</v>
      </c>
      <c r="D77" s="12">
        <v>1.23</v>
      </c>
      <c r="E77" s="15" t="s">
        <v>11</v>
      </c>
      <c r="F77" s="18"/>
      <c r="G77" s="19"/>
      <c r="H77" s="16"/>
      <c r="I77" s="16"/>
      <c r="J77" s="8"/>
      <c r="K77" s="150"/>
    </row>
    <row r="78" spans="1:11" x14ac:dyDescent="0.2">
      <c r="A78" s="10">
        <v>18155</v>
      </c>
      <c r="B78" s="11">
        <v>42318</v>
      </c>
      <c r="C78" s="12">
        <v>11.5</v>
      </c>
      <c r="D78" s="12"/>
      <c r="E78" s="15" t="s">
        <v>271</v>
      </c>
      <c r="F78" s="18"/>
      <c r="G78" s="19"/>
      <c r="H78" s="16"/>
      <c r="I78" s="16"/>
      <c r="J78" s="8"/>
      <c r="K78" s="150"/>
    </row>
    <row r="79" spans="1:11" x14ac:dyDescent="0.2">
      <c r="A79" s="10">
        <v>18156</v>
      </c>
      <c r="B79" s="11">
        <v>42318</v>
      </c>
      <c r="C79" s="12">
        <v>188.36</v>
      </c>
      <c r="D79" s="12">
        <v>14.36</v>
      </c>
      <c r="E79" s="15" t="s">
        <v>11</v>
      </c>
      <c r="F79" s="18"/>
      <c r="G79" s="19"/>
      <c r="H79" s="16"/>
      <c r="I79" s="16"/>
      <c r="J79" s="8"/>
      <c r="K79" s="150"/>
    </row>
    <row r="80" spans="1:11" x14ac:dyDescent="0.2">
      <c r="A80" s="10">
        <v>18157</v>
      </c>
      <c r="B80" s="11">
        <v>42318</v>
      </c>
      <c r="C80" s="12">
        <v>60.62</v>
      </c>
      <c r="D80" s="12">
        <v>4.62</v>
      </c>
      <c r="E80" s="15" t="s">
        <v>13</v>
      </c>
      <c r="F80" s="18"/>
      <c r="G80" s="19"/>
      <c r="H80" s="16"/>
      <c r="I80" s="16"/>
      <c r="J80" s="8"/>
      <c r="K80" s="150"/>
    </row>
    <row r="81" spans="1:11" x14ac:dyDescent="0.2">
      <c r="A81" s="10">
        <v>18158</v>
      </c>
      <c r="B81" s="11">
        <v>42318</v>
      </c>
      <c r="C81" s="12">
        <v>214.34</v>
      </c>
      <c r="D81" s="12">
        <v>16.34</v>
      </c>
      <c r="E81" s="13" t="s">
        <v>501</v>
      </c>
      <c r="F81" s="18"/>
      <c r="G81" s="19"/>
      <c r="H81" s="14"/>
      <c r="I81" s="16"/>
      <c r="J81" s="8"/>
      <c r="K81" s="150"/>
    </row>
    <row r="82" spans="1:11" x14ac:dyDescent="0.2">
      <c r="A82" s="10">
        <v>18159</v>
      </c>
      <c r="B82" s="11">
        <v>42318</v>
      </c>
      <c r="C82" s="12">
        <v>215.96</v>
      </c>
      <c r="D82" s="12">
        <v>16.46</v>
      </c>
      <c r="E82" s="15" t="s">
        <v>7</v>
      </c>
      <c r="F82" s="18"/>
      <c r="G82" s="19"/>
      <c r="H82" s="16"/>
      <c r="I82" s="16"/>
      <c r="J82" s="8"/>
      <c r="K82" s="150"/>
    </row>
    <row r="83" spans="1:11" x14ac:dyDescent="0.2">
      <c r="A83" s="10">
        <v>18160</v>
      </c>
      <c r="B83" s="11">
        <v>42318</v>
      </c>
      <c r="C83" s="12">
        <v>182.94</v>
      </c>
      <c r="D83" s="12">
        <v>13.94</v>
      </c>
      <c r="E83" s="15" t="s">
        <v>11</v>
      </c>
      <c r="F83" s="18"/>
      <c r="G83" s="19"/>
      <c r="H83" s="16"/>
      <c r="I83" s="16"/>
      <c r="J83" s="8"/>
      <c r="K83" s="150"/>
    </row>
    <row r="84" spans="1:11" x14ac:dyDescent="0.2">
      <c r="A84" s="10">
        <v>18161</v>
      </c>
      <c r="B84" s="11">
        <v>42318</v>
      </c>
      <c r="C84" s="12">
        <v>42.22</v>
      </c>
      <c r="D84" s="12">
        <v>3.22</v>
      </c>
      <c r="E84" s="15" t="s">
        <v>11</v>
      </c>
      <c r="F84" s="18"/>
      <c r="G84" s="19"/>
      <c r="H84" s="16"/>
      <c r="I84" s="16"/>
      <c r="J84" s="8"/>
      <c r="K84" s="150"/>
    </row>
    <row r="85" spans="1:11" x14ac:dyDescent="0.2">
      <c r="A85" s="10">
        <v>18162</v>
      </c>
      <c r="B85" s="11">
        <v>42318</v>
      </c>
      <c r="C85" s="12">
        <v>117.94</v>
      </c>
      <c r="D85" s="12">
        <v>8.99</v>
      </c>
      <c r="E85" s="15" t="s">
        <v>11</v>
      </c>
      <c r="F85" s="18"/>
      <c r="G85" s="19"/>
      <c r="H85" s="16"/>
      <c r="I85" s="16"/>
      <c r="J85" s="8"/>
      <c r="K85" s="150"/>
    </row>
    <row r="86" spans="1:11" x14ac:dyDescent="0.2">
      <c r="A86" s="10">
        <v>18163</v>
      </c>
      <c r="B86" s="11">
        <v>42318</v>
      </c>
      <c r="C86" s="12">
        <v>0</v>
      </c>
      <c r="D86" s="12">
        <v>0</v>
      </c>
      <c r="E86" s="15" t="s">
        <v>87</v>
      </c>
      <c r="F86" s="34">
        <v>1304.3599999999999</v>
      </c>
      <c r="G86" s="34">
        <v>1283.54</v>
      </c>
      <c r="H86" s="12"/>
      <c r="I86" s="16"/>
      <c r="J86" s="8"/>
      <c r="K86" s="150"/>
    </row>
    <row r="87" spans="1:11" x14ac:dyDescent="0.2">
      <c r="A87" s="10">
        <v>18164</v>
      </c>
      <c r="B87" s="11">
        <v>42319</v>
      </c>
      <c r="C87" s="12">
        <v>101.76</v>
      </c>
      <c r="D87" s="12">
        <v>7.76</v>
      </c>
      <c r="E87" s="15"/>
      <c r="F87" s="18"/>
      <c r="G87" s="22"/>
      <c r="H87" s="10"/>
      <c r="I87" s="16"/>
      <c r="J87" s="8"/>
      <c r="K87" s="150"/>
    </row>
    <row r="88" spans="1:11" x14ac:dyDescent="0.2">
      <c r="A88" s="10">
        <v>18165</v>
      </c>
      <c r="B88" s="11">
        <v>42319</v>
      </c>
      <c r="C88" s="12">
        <v>296.06</v>
      </c>
      <c r="D88" s="12">
        <v>22.56</v>
      </c>
      <c r="E88" s="15" t="s">
        <v>11</v>
      </c>
      <c r="F88" s="21"/>
      <c r="G88" s="22"/>
      <c r="H88" s="10"/>
      <c r="I88" s="16"/>
      <c r="J88" s="8"/>
      <c r="K88" s="150"/>
    </row>
    <row r="89" spans="1:11" x14ac:dyDescent="0.2">
      <c r="A89" s="10">
        <v>18166</v>
      </c>
      <c r="B89" s="11">
        <v>42319</v>
      </c>
      <c r="C89" s="12">
        <v>527.17999999999995</v>
      </c>
      <c r="D89" s="12">
        <v>40.18</v>
      </c>
      <c r="E89" s="15" t="s">
        <v>11</v>
      </c>
      <c r="H89" s="10"/>
      <c r="I89" s="16"/>
      <c r="J89" s="8"/>
      <c r="K89" s="150"/>
    </row>
    <row r="90" spans="1:11" x14ac:dyDescent="0.2">
      <c r="A90" s="10">
        <v>18167</v>
      </c>
      <c r="B90" s="11">
        <v>42319</v>
      </c>
      <c r="C90" s="12">
        <v>32.479999999999997</v>
      </c>
      <c r="D90" s="12">
        <v>2.48</v>
      </c>
      <c r="E90" s="15"/>
      <c r="H90" s="10"/>
      <c r="I90" s="16"/>
      <c r="J90" s="8"/>
      <c r="K90" s="150"/>
    </row>
    <row r="91" spans="1:11" x14ac:dyDescent="0.2">
      <c r="A91" s="10">
        <v>18168</v>
      </c>
      <c r="B91" s="11">
        <v>42319</v>
      </c>
      <c r="C91" s="12">
        <v>15</v>
      </c>
      <c r="D91" s="12">
        <v>1.1399999999999999</v>
      </c>
      <c r="E91" s="17"/>
      <c r="H91" s="12"/>
      <c r="I91" s="16"/>
      <c r="J91" s="8"/>
      <c r="K91" s="150"/>
    </row>
    <row r="92" spans="1:11" x14ac:dyDescent="0.2">
      <c r="A92" s="10">
        <v>18169</v>
      </c>
      <c r="B92" s="11">
        <v>42319</v>
      </c>
      <c r="C92" s="12">
        <v>43.49</v>
      </c>
      <c r="D92" s="12">
        <v>3.31</v>
      </c>
      <c r="E92" s="15" t="s">
        <v>11</v>
      </c>
      <c r="F92" s="21"/>
      <c r="G92" s="22"/>
      <c r="H92" s="10"/>
      <c r="I92" s="16"/>
      <c r="J92" s="8"/>
      <c r="K92" s="150"/>
    </row>
    <row r="93" spans="1:11" x14ac:dyDescent="0.2">
      <c r="A93" s="10">
        <v>18170</v>
      </c>
      <c r="B93" s="11">
        <v>42319</v>
      </c>
      <c r="C93" s="12">
        <v>21.65</v>
      </c>
      <c r="D93" s="12">
        <v>1.65</v>
      </c>
      <c r="E93" s="15" t="s">
        <v>11</v>
      </c>
      <c r="H93" s="10"/>
      <c r="I93" s="16"/>
      <c r="J93" s="8"/>
      <c r="K93" s="150"/>
    </row>
    <row r="94" spans="1:11" x14ac:dyDescent="0.2">
      <c r="A94" s="10">
        <v>18171</v>
      </c>
      <c r="B94" s="11">
        <v>42319</v>
      </c>
      <c r="C94" s="12">
        <v>18</v>
      </c>
      <c r="D94" s="12"/>
      <c r="E94" s="15" t="s">
        <v>10</v>
      </c>
      <c r="H94" s="10"/>
      <c r="I94" s="16"/>
      <c r="J94" s="8"/>
      <c r="K94" s="150"/>
    </row>
    <row r="95" spans="1:11" x14ac:dyDescent="0.2">
      <c r="A95" s="10">
        <v>18172</v>
      </c>
      <c r="B95" s="11">
        <v>42319</v>
      </c>
      <c r="C95" s="12">
        <v>54.07</v>
      </c>
      <c r="D95" s="12">
        <v>4.12</v>
      </c>
      <c r="E95" s="15" t="s">
        <v>11</v>
      </c>
      <c r="F95" s="34">
        <f>+C85+C89+C54+C92+C93+C95</f>
        <v>1098.33</v>
      </c>
      <c r="G95" s="34">
        <v>1087.9100000000001</v>
      </c>
      <c r="H95" s="10"/>
      <c r="I95" s="16"/>
      <c r="J95" s="8"/>
      <c r="K95" s="150"/>
    </row>
    <row r="96" spans="1:11" x14ac:dyDescent="0.2">
      <c r="A96" s="10">
        <v>18173</v>
      </c>
      <c r="B96" s="11">
        <v>42320</v>
      </c>
      <c r="C96" s="12">
        <v>86.55</v>
      </c>
      <c r="D96" s="12">
        <v>6.6</v>
      </c>
      <c r="E96" s="15"/>
      <c r="H96" s="10"/>
      <c r="I96" s="16"/>
      <c r="J96" s="8"/>
      <c r="K96" s="150"/>
    </row>
    <row r="97" spans="1:11" x14ac:dyDescent="0.2">
      <c r="A97" s="10">
        <v>18174</v>
      </c>
      <c r="B97" s="11">
        <v>42320</v>
      </c>
      <c r="C97" s="12">
        <v>352.9</v>
      </c>
      <c r="D97" s="12">
        <v>26.9</v>
      </c>
      <c r="E97" s="15" t="s">
        <v>11</v>
      </c>
      <c r="H97" s="10"/>
      <c r="I97" s="16"/>
      <c r="J97" s="8"/>
      <c r="K97" s="150"/>
    </row>
    <row r="98" spans="1:11" x14ac:dyDescent="0.2">
      <c r="A98" s="10">
        <v>18175</v>
      </c>
      <c r="B98" s="11">
        <v>42320</v>
      </c>
      <c r="C98" s="12">
        <v>235</v>
      </c>
      <c r="D98" s="12">
        <v>17.91</v>
      </c>
      <c r="E98" s="17"/>
      <c r="F98" s="18"/>
      <c r="G98" s="19"/>
      <c r="H98" s="12"/>
      <c r="I98" s="16"/>
      <c r="J98" s="8"/>
      <c r="K98" s="150"/>
    </row>
    <row r="99" spans="1:11" x14ac:dyDescent="0.2">
      <c r="A99" s="10">
        <v>18176</v>
      </c>
      <c r="B99" s="11">
        <v>42320</v>
      </c>
      <c r="C99" s="12">
        <v>120</v>
      </c>
      <c r="D99" s="12">
        <v>9.15</v>
      </c>
      <c r="E99" s="17"/>
      <c r="H99" s="12"/>
      <c r="I99" s="16"/>
      <c r="J99" s="8"/>
      <c r="K99" s="150"/>
    </row>
    <row r="100" spans="1:11" x14ac:dyDescent="0.2">
      <c r="A100" s="10">
        <v>18177</v>
      </c>
      <c r="B100" s="11">
        <v>42320</v>
      </c>
      <c r="C100" s="12">
        <v>184.57</v>
      </c>
      <c r="D100" s="12">
        <v>14.07</v>
      </c>
      <c r="E100" s="15" t="s">
        <v>7</v>
      </c>
      <c r="H100" s="10"/>
      <c r="I100" s="16"/>
      <c r="J100" s="8"/>
      <c r="K100" s="150"/>
    </row>
    <row r="101" spans="1:11" x14ac:dyDescent="0.2">
      <c r="A101" s="10">
        <v>18178</v>
      </c>
      <c r="B101" s="11">
        <v>42320</v>
      </c>
      <c r="C101" s="12">
        <v>5.3900000000000006</v>
      </c>
      <c r="D101" s="12">
        <v>0.41</v>
      </c>
      <c r="E101" s="15" t="s">
        <v>11</v>
      </c>
      <c r="F101" s="34">
        <f>+C97+26.55+C100+C101+C88</f>
        <v>865.47</v>
      </c>
      <c r="G101" s="34">
        <v>854.35</v>
      </c>
      <c r="H101" s="10"/>
      <c r="I101" s="16"/>
      <c r="J101" s="8"/>
      <c r="K101" s="150"/>
    </row>
    <row r="102" spans="1:11" x14ac:dyDescent="0.2">
      <c r="A102" s="10">
        <v>18179</v>
      </c>
      <c r="B102" s="11">
        <v>42321</v>
      </c>
      <c r="C102" s="12">
        <v>164.54</v>
      </c>
      <c r="D102" s="12">
        <v>12.54</v>
      </c>
      <c r="E102" s="15" t="s">
        <v>11</v>
      </c>
      <c r="H102" s="10"/>
      <c r="I102" s="16"/>
      <c r="J102" s="8"/>
      <c r="K102" s="150"/>
    </row>
    <row r="103" spans="1:11" x14ac:dyDescent="0.2">
      <c r="A103" s="10">
        <v>18180</v>
      </c>
      <c r="B103" s="11">
        <v>42321</v>
      </c>
      <c r="C103" s="12">
        <v>64.95</v>
      </c>
      <c r="D103" s="12">
        <v>4.95</v>
      </c>
      <c r="E103" s="15"/>
      <c r="F103" s="21"/>
      <c r="G103" s="22"/>
      <c r="H103" s="10"/>
      <c r="I103" s="16"/>
      <c r="J103" s="8"/>
      <c r="K103" s="150"/>
    </row>
    <row r="104" spans="1:11" x14ac:dyDescent="0.2">
      <c r="A104" s="10">
        <v>18181</v>
      </c>
      <c r="B104" s="11">
        <v>42321</v>
      </c>
      <c r="C104" s="12">
        <v>272.79000000000002</v>
      </c>
      <c r="D104" s="12">
        <v>20.79</v>
      </c>
      <c r="E104" s="15" t="s">
        <v>11</v>
      </c>
      <c r="H104" s="10"/>
      <c r="I104" s="16"/>
      <c r="J104" s="8"/>
      <c r="K104" s="150"/>
    </row>
    <row r="105" spans="1:11" x14ac:dyDescent="0.2">
      <c r="A105" s="10">
        <v>18182</v>
      </c>
      <c r="B105" s="11">
        <v>42321</v>
      </c>
      <c r="C105" s="12">
        <v>37.830000000000005</v>
      </c>
      <c r="D105" s="12">
        <v>2.88</v>
      </c>
      <c r="E105" s="15" t="s">
        <v>11</v>
      </c>
      <c r="H105" s="10"/>
      <c r="I105" s="16"/>
      <c r="J105" s="8"/>
      <c r="K105" s="150"/>
    </row>
    <row r="106" spans="1:11" x14ac:dyDescent="0.2">
      <c r="A106" s="10">
        <v>18183</v>
      </c>
      <c r="B106" s="11">
        <v>42321</v>
      </c>
      <c r="C106" s="12">
        <v>24.33</v>
      </c>
      <c r="D106" s="12">
        <v>1.85</v>
      </c>
      <c r="E106" s="17"/>
      <c r="H106" s="12"/>
      <c r="I106" s="16"/>
      <c r="J106" s="8"/>
      <c r="K106" s="150"/>
    </row>
    <row r="107" spans="1:11" x14ac:dyDescent="0.2">
      <c r="A107" s="10">
        <v>18184</v>
      </c>
      <c r="B107" s="11">
        <v>42321</v>
      </c>
      <c r="C107" s="12">
        <v>121.78</v>
      </c>
      <c r="D107" s="12">
        <v>9.2799999999999994</v>
      </c>
      <c r="E107" s="15" t="s">
        <v>11</v>
      </c>
      <c r="H107" s="10"/>
      <c r="I107" s="16"/>
      <c r="J107" s="8"/>
      <c r="K107" s="150"/>
    </row>
    <row r="108" spans="1:11" x14ac:dyDescent="0.2">
      <c r="A108" s="10">
        <v>18185</v>
      </c>
      <c r="B108" s="11">
        <v>42321</v>
      </c>
      <c r="C108" s="12">
        <v>-2.66</v>
      </c>
      <c r="D108" s="12">
        <v>-0.2</v>
      </c>
      <c r="E108" s="15" t="s">
        <v>21</v>
      </c>
      <c r="H108" s="10"/>
      <c r="I108" s="16"/>
      <c r="J108" s="8"/>
      <c r="K108" s="150"/>
    </row>
    <row r="109" spans="1:11" x14ac:dyDescent="0.2">
      <c r="A109" s="10">
        <v>18186</v>
      </c>
      <c r="B109" s="11">
        <v>42321</v>
      </c>
      <c r="C109" s="12">
        <v>180.24</v>
      </c>
      <c r="D109" s="12">
        <v>13.74</v>
      </c>
      <c r="E109" s="15" t="s">
        <v>11</v>
      </c>
      <c r="H109" s="10"/>
      <c r="I109" s="16"/>
      <c r="J109" s="8"/>
      <c r="K109" s="150"/>
    </row>
    <row r="110" spans="1:11" x14ac:dyDescent="0.2">
      <c r="A110" s="10">
        <v>18187</v>
      </c>
      <c r="B110" s="11">
        <v>42321</v>
      </c>
      <c r="C110" s="12">
        <v>197.02</v>
      </c>
      <c r="D110" s="12">
        <v>15.02</v>
      </c>
      <c r="E110" s="13"/>
      <c r="H110" s="12"/>
      <c r="I110" s="16"/>
      <c r="J110" s="8"/>
      <c r="K110" s="150"/>
    </row>
    <row r="111" spans="1:11" x14ac:dyDescent="0.2">
      <c r="A111" s="10">
        <v>18188</v>
      </c>
      <c r="B111" s="11">
        <v>42321</v>
      </c>
      <c r="C111" s="12">
        <v>45.47</v>
      </c>
      <c r="D111" s="12">
        <v>3.47</v>
      </c>
      <c r="E111" s="17"/>
      <c r="F111" s="34">
        <f>+C102+175+C105+C107+C26</f>
        <v>782.77</v>
      </c>
      <c r="G111" s="34">
        <v>769.31</v>
      </c>
      <c r="H111" s="12"/>
      <c r="I111" s="16"/>
      <c r="J111" s="8"/>
      <c r="K111" s="150"/>
    </row>
    <row r="112" spans="1:11" x14ac:dyDescent="0.2">
      <c r="A112" s="10">
        <v>18189</v>
      </c>
      <c r="B112" s="11">
        <v>42322</v>
      </c>
      <c r="C112" s="12">
        <v>85.52</v>
      </c>
      <c r="D112" s="12">
        <v>6.52</v>
      </c>
      <c r="E112" s="15" t="s">
        <v>11</v>
      </c>
      <c r="H112" s="10"/>
      <c r="I112" s="16"/>
      <c r="J112" s="8"/>
      <c r="K112" s="150"/>
    </row>
    <row r="113" spans="1:11" x14ac:dyDescent="0.2">
      <c r="A113" s="10">
        <v>18190</v>
      </c>
      <c r="B113" s="11">
        <v>42322</v>
      </c>
      <c r="C113" s="12">
        <v>-2.17</v>
      </c>
      <c r="D113" s="12">
        <v>-0.17</v>
      </c>
      <c r="E113" s="17"/>
      <c r="H113" s="12"/>
      <c r="I113" s="16"/>
      <c r="J113" s="8"/>
      <c r="K113" s="150"/>
    </row>
    <row r="114" spans="1:11" x14ac:dyDescent="0.2">
      <c r="A114" s="10">
        <v>18191</v>
      </c>
      <c r="B114" s="11">
        <v>42322</v>
      </c>
      <c r="C114" s="12">
        <v>20.459999999999997</v>
      </c>
      <c r="D114" s="12">
        <v>1.56</v>
      </c>
      <c r="E114" s="15" t="s">
        <v>11</v>
      </c>
      <c r="F114" s="21"/>
      <c r="G114" s="22"/>
      <c r="H114" s="10"/>
      <c r="I114" s="16"/>
      <c r="J114" s="8"/>
      <c r="K114" s="150"/>
    </row>
    <row r="115" spans="1:11" x14ac:dyDescent="0.2">
      <c r="A115" s="10">
        <v>18192</v>
      </c>
      <c r="B115" s="11">
        <v>42322</v>
      </c>
      <c r="C115" s="12">
        <v>33.5</v>
      </c>
      <c r="D115" s="12">
        <v>2.5499999999999998</v>
      </c>
      <c r="E115" s="15" t="s">
        <v>11</v>
      </c>
      <c r="H115" s="10"/>
      <c r="I115" s="16"/>
      <c r="J115" s="8"/>
      <c r="K115" s="150"/>
    </row>
    <row r="116" spans="1:11" x14ac:dyDescent="0.2">
      <c r="A116" s="10">
        <v>18193</v>
      </c>
      <c r="B116" s="11">
        <v>42322</v>
      </c>
      <c r="C116" s="12">
        <v>32.42</v>
      </c>
      <c r="D116" s="12">
        <v>2.4700000000000002</v>
      </c>
      <c r="E116" s="15" t="s">
        <v>502</v>
      </c>
      <c r="F116" s="21"/>
      <c r="G116" s="22"/>
      <c r="H116" s="10"/>
      <c r="I116" s="16"/>
      <c r="J116" s="8"/>
      <c r="K116" s="150"/>
    </row>
    <row r="117" spans="1:11" x14ac:dyDescent="0.2">
      <c r="A117" s="10">
        <v>18194</v>
      </c>
      <c r="B117" s="11">
        <v>42322</v>
      </c>
      <c r="C117" s="12">
        <v>230.57</v>
      </c>
      <c r="D117" s="12">
        <v>17.57</v>
      </c>
      <c r="E117" s="15" t="s">
        <v>11</v>
      </c>
      <c r="F117" s="115"/>
      <c r="G117" s="115"/>
      <c r="H117" s="10"/>
      <c r="I117" s="16"/>
      <c r="J117" s="8"/>
      <c r="K117" s="150"/>
    </row>
    <row r="118" spans="1:11" x14ac:dyDescent="0.2">
      <c r="A118" s="10">
        <v>18195</v>
      </c>
      <c r="B118" s="11">
        <v>42322</v>
      </c>
      <c r="C118" s="12">
        <v>13.26</v>
      </c>
      <c r="D118" s="12">
        <v>1.01</v>
      </c>
      <c r="E118" s="15" t="s">
        <v>11</v>
      </c>
      <c r="H118" s="10"/>
      <c r="I118" s="16"/>
      <c r="J118" s="8"/>
      <c r="K118" s="150"/>
    </row>
    <row r="119" spans="1:11" x14ac:dyDescent="0.2">
      <c r="A119" s="10">
        <v>18196</v>
      </c>
      <c r="B119" s="11">
        <v>42322</v>
      </c>
      <c r="C119" s="12">
        <v>34.64</v>
      </c>
      <c r="D119" s="12">
        <v>2.64</v>
      </c>
      <c r="E119" s="15" t="s">
        <v>7</v>
      </c>
      <c r="F119" s="34">
        <f>+C112+C114+C115+C117+C118+C119</f>
        <v>417.94999999999993</v>
      </c>
      <c r="G119" s="34">
        <v>408.8</v>
      </c>
      <c r="H119" s="10"/>
      <c r="I119" s="16"/>
      <c r="J119" s="8"/>
      <c r="K119" s="150"/>
    </row>
    <row r="120" spans="1:11" x14ac:dyDescent="0.2">
      <c r="A120" s="10">
        <v>18197</v>
      </c>
      <c r="B120" s="11">
        <v>42324</v>
      </c>
      <c r="C120" s="12">
        <v>16.18</v>
      </c>
      <c r="D120" s="12">
        <v>1.23</v>
      </c>
      <c r="E120" s="15" t="s">
        <v>7</v>
      </c>
      <c r="H120" s="10"/>
      <c r="I120" s="16"/>
      <c r="J120" s="8"/>
      <c r="K120" s="150"/>
    </row>
    <row r="121" spans="1:11" x14ac:dyDescent="0.2">
      <c r="A121" s="10">
        <v>18198</v>
      </c>
      <c r="B121" s="11">
        <v>42324</v>
      </c>
      <c r="C121" s="12">
        <v>30</v>
      </c>
      <c r="D121" s="12">
        <v>2.29</v>
      </c>
      <c r="E121" s="17"/>
      <c r="H121" s="12"/>
      <c r="I121" s="16"/>
      <c r="J121" s="8"/>
      <c r="K121" s="150"/>
    </row>
    <row r="122" spans="1:11" x14ac:dyDescent="0.2">
      <c r="A122" s="10">
        <v>18199</v>
      </c>
      <c r="B122" s="11">
        <v>42324</v>
      </c>
      <c r="C122" s="12">
        <v>15</v>
      </c>
      <c r="D122" s="12">
        <v>1.1399999999999999</v>
      </c>
      <c r="E122" s="17"/>
      <c r="H122" s="12"/>
      <c r="I122" s="16"/>
      <c r="J122" s="8"/>
      <c r="K122" s="150"/>
    </row>
    <row r="123" spans="1:11" x14ac:dyDescent="0.2">
      <c r="A123" s="10">
        <v>18200</v>
      </c>
      <c r="B123" s="11">
        <v>42324</v>
      </c>
      <c r="C123" s="12">
        <v>161.29</v>
      </c>
      <c r="D123" s="12">
        <v>12.29</v>
      </c>
      <c r="E123" s="15" t="s">
        <v>11</v>
      </c>
      <c r="F123" s="21"/>
      <c r="G123" s="22"/>
      <c r="H123" s="10"/>
      <c r="I123" s="16"/>
      <c r="J123" s="8"/>
      <c r="K123" s="150"/>
    </row>
    <row r="124" spans="1:11" x14ac:dyDescent="0.2">
      <c r="A124" s="10">
        <v>18201</v>
      </c>
      <c r="B124" s="11">
        <v>42324</v>
      </c>
      <c r="C124" s="12">
        <v>70.36</v>
      </c>
      <c r="D124" s="12">
        <v>5.36</v>
      </c>
      <c r="E124" s="15" t="s">
        <v>7</v>
      </c>
      <c r="H124" s="10"/>
      <c r="I124" s="16"/>
      <c r="J124" s="8"/>
      <c r="K124" s="150"/>
    </row>
    <row r="125" spans="1:11" x14ac:dyDescent="0.2">
      <c r="A125" s="10">
        <v>18202</v>
      </c>
      <c r="B125" s="11">
        <v>42324</v>
      </c>
      <c r="C125" s="12">
        <v>19.489999999999998</v>
      </c>
      <c r="D125" s="12">
        <v>1.49</v>
      </c>
      <c r="E125" s="17"/>
      <c r="H125" s="12"/>
      <c r="I125" s="16"/>
      <c r="J125" s="8"/>
      <c r="K125" s="150"/>
    </row>
    <row r="126" spans="1:11" x14ac:dyDescent="0.2">
      <c r="A126" s="10">
        <v>18203</v>
      </c>
      <c r="B126" s="11">
        <v>42324</v>
      </c>
      <c r="C126" s="12">
        <v>31.5</v>
      </c>
      <c r="D126" s="12"/>
      <c r="E126" s="15" t="s">
        <v>33</v>
      </c>
      <c r="H126" s="10"/>
      <c r="I126" s="16"/>
      <c r="J126" s="8"/>
      <c r="K126" s="150"/>
    </row>
    <row r="127" spans="1:11" x14ac:dyDescent="0.2">
      <c r="A127" s="10">
        <v>18204</v>
      </c>
      <c r="B127" s="11">
        <v>42324</v>
      </c>
      <c r="C127" s="12">
        <v>96.34</v>
      </c>
      <c r="D127" s="12">
        <v>7.34</v>
      </c>
      <c r="E127" s="15" t="s">
        <v>7</v>
      </c>
      <c r="H127" s="10"/>
      <c r="I127" s="16"/>
      <c r="J127" s="8"/>
      <c r="K127" s="150"/>
    </row>
    <row r="128" spans="1:11" x14ac:dyDescent="0.2">
      <c r="A128" s="10">
        <v>18205</v>
      </c>
      <c r="B128" s="11">
        <v>42324</v>
      </c>
      <c r="C128" s="12">
        <v>42.22</v>
      </c>
      <c r="D128" s="12">
        <v>3.22</v>
      </c>
      <c r="E128" s="17"/>
      <c r="H128" s="12"/>
      <c r="I128" s="16"/>
      <c r="J128" s="8"/>
      <c r="K128" s="150"/>
    </row>
    <row r="129" spans="1:11" x14ac:dyDescent="0.2">
      <c r="A129" s="10">
        <v>18206</v>
      </c>
      <c r="B129" s="11">
        <v>42324</v>
      </c>
      <c r="C129" s="12">
        <v>100</v>
      </c>
      <c r="D129" s="12">
        <v>7.62</v>
      </c>
      <c r="E129" s="15" t="s">
        <v>309</v>
      </c>
      <c r="H129" s="10"/>
      <c r="I129" s="16"/>
      <c r="J129" s="8"/>
      <c r="K129" s="150"/>
    </row>
    <row r="130" spans="1:11" x14ac:dyDescent="0.2">
      <c r="A130" s="10">
        <v>18207</v>
      </c>
      <c r="B130" s="11">
        <v>42324</v>
      </c>
      <c r="C130" s="12">
        <v>164.54</v>
      </c>
      <c r="D130" s="12">
        <v>12.54</v>
      </c>
      <c r="E130" s="17"/>
      <c r="F130" s="18"/>
      <c r="G130" s="19"/>
      <c r="H130" s="12"/>
      <c r="I130" s="16"/>
      <c r="J130" s="8"/>
      <c r="K130" s="150"/>
    </row>
    <row r="131" spans="1:11" x14ac:dyDescent="0.2">
      <c r="A131" s="10">
        <v>18208</v>
      </c>
      <c r="B131" s="11">
        <v>42324</v>
      </c>
      <c r="C131" s="12">
        <v>115</v>
      </c>
      <c r="D131" s="12">
        <v>8.76</v>
      </c>
      <c r="E131" s="13" t="s">
        <v>503</v>
      </c>
      <c r="F131" s="34">
        <f>+C120+C123+C124+C109+C126+C127+15+C64</f>
        <v>765.22</v>
      </c>
      <c r="G131" s="34">
        <v>755.71</v>
      </c>
      <c r="H131" s="12"/>
      <c r="I131" s="16"/>
      <c r="J131" s="8"/>
      <c r="K131" s="150"/>
    </row>
    <row r="132" spans="1:11" x14ac:dyDescent="0.2">
      <c r="A132" s="10">
        <v>18209</v>
      </c>
      <c r="B132" s="11">
        <v>42325</v>
      </c>
      <c r="C132" s="12">
        <v>21.599999999999998</v>
      </c>
      <c r="D132" s="12">
        <v>1.65</v>
      </c>
      <c r="E132" s="17"/>
      <c r="F132" s="18"/>
      <c r="G132" s="19"/>
      <c r="H132" s="12"/>
      <c r="I132" s="16"/>
      <c r="J132" s="8"/>
      <c r="K132" s="150"/>
    </row>
    <row r="133" spans="1:11" x14ac:dyDescent="0.2">
      <c r="A133" s="10">
        <v>18210</v>
      </c>
      <c r="B133" s="11">
        <v>42325</v>
      </c>
      <c r="C133" s="12">
        <v>205.68</v>
      </c>
      <c r="D133" s="12">
        <v>15.68</v>
      </c>
      <c r="E133" s="15" t="s">
        <v>504</v>
      </c>
      <c r="F133" s="21"/>
      <c r="G133" s="22"/>
      <c r="H133" s="10"/>
      <c r="I133" s="16"/>
      <c r="J133" s="8"/>
      <c r="K133" s="150"/>
    </row>
    <row r="134" spans="1:11" x14ac:dyDescent="0.2">
      <c r="A134" s="10">
        <v>18211</v>
      </c>
      <c r="B134" s="11">
        <v>42325</v>
      </c>
      <c r="C134" s="12">
        <v>-13.26</v>
      </c>
      <c r="D134" s="12">
        <v>-1.01</v>
      </c>
      <c r="E134" s="17"/>
      <c r="H134" s="12"/>
      <c r="I134" s="16"/>
      <c r="J134" s="8"/>
      <c r="K134" s="150"/>
    </row>
    <row r="135" spans="1:11" x14ac:dyDescent="0.2">
      <c r="A135" s="10">
        <v>18212</v>
      </c>
      <c r="B135" s="11">
        <v>42325</v>
      </c>
      <c r="C135" s="12">
        <v>10.83</v>
      </c>
      <c r="D135" s="12">
        <v>0.83</v>
      </c>
      <c r="E135" s="17"/>
      <c r="H135" s="12"/>
      <c r="I135" s="16"/>
      <c r="J135" s="8"/>
      <c r="K135" s="150"/>
    </row>
    <row r="136" spans="1:11" x14ac:dyDescent="0.2">
      <c r="A136" s="10">
        <v>18213</v>
      </c>
      <c r="B136" s="11">
        <v>42325</v>
      </c>
      <c r="C136" s="12">
        <v>8.66</v>
      </c>
      <c r="D136" s="12">
        <v>0.66</v>
      </c>
      <c r="E136" s="17"/>
      <c r="F136" s="18"/>
      <c r="G136" s="19"/>
      <c r="H136" s="12"/>
      <c r="I136" s="16"/>
      <c r="J136" s="8"/>
      <c r="K136" s="150"/>
    </row>
    <row r="137" spans="1:11" x14ac:dyDescent="0.2">
      <c r="A137" s="10">
        <v>18214</v>
      </c>
      <c r="B137" s="11">
        <v>42325</v>
      </c>
      <c r="C137" s="12">
        <v>198.32</v>
      </c>
      <c r="D137" s="12"/>
      <c r="E137" s="15" t="s">
        <v>359</v>
      </c>
      <c r="F137" s="21"/>
      <c r="G137" s="22"/>
      <c r="H137" s="10"/>
      <c r="I137" s="16"/>
      <c r="J137" s="8"/>
      <c r="K137" s="150"/>
    </row>
    <row r="138" spans="1:11" x14ac:dyDescent="0.2">
      <c r="A138" s="10">
        <v>18215</v>
      </c>
      <c r="B138" s="11">
        <v>42325</v>
      </c>
      <c r="C138" s="12">
        <v>117.99</v>
      </c>
      <c r="D138" s="12">
        <v>8.99</v>
      </c>
      <c r="E138" s="17"/>
      <c r="H138" s="12"/>
      <c r="I138" s="16"/>
      <c r="J138" s="8"/>
      <c r="K138" s="150"/>
    </row>
    <row r="139" spans="1:11" x14ac:dyDescent="0.2">
      <c r="A139" s="10">
        <v>18216</v>
      </c>
      <c r="B139" s="11">
        <v>42325</v>
      </c>
      <c r="C139" s="12">
        <v>255.47</v>
      </c>
      <c r="D139" s="12">
        <v>19.47</v>
      </c>
      <c r="E139" s="15"/>
      <c r="H139" s="10"/>
      <c r="I139" s="16"/>
      <c r="J139" s="8"/>
      <c r="K139" s="150"/>
    </row>
    <row r="140" spans="1:11" x14ac:dyDescent="0.2">
      <c r="A140" s="10">
        <v>18217</v>
      </c>
      <c r="B140" s="11">
        <v>42325</v>
      </c>
      <c r="C140" s="12">
        <v>66.03</v>
      </c>
      <c r="D140" s="12">
        <v>5.03</v>
      </c>
      <c r="E140" s="17"/>
      <c r="F140" s="18"/>
      <c r="G140" s="19"/>
      <c r="H140" s="12"/>
      <c r="I140" s="16"/>
      <c r="J140" s="8"/>
      <c r="K140" s="150"/>
    </row>
    <row r="141" spans="1:11" x14ac:dyDescent="0.2">
      <c r="A141" s="10">
        <v>18218</v>
      </c>
      <c r="B141" s="11">
        <v>42325</v>
      </c>
      <c r="C141" s="12">
        <v>21.599999999999998</v>
      </c>
      <c r="D141" s="12">
        <v>1.65</v>
      </c>
      <c r="E141" s="17"/>
      <c r="F141" s="34">
        <f>75+97.79</f>
        <v>172.79000000000002</v>
      </c>
      <c r="G141" s="34">
        <v>169.77</v>
      </c>
      <c r="H141" s="12"/>
      <c r="I141" s="16"/>
      <c r="J141" s="8"/>
      <c r="K141" s="150"/>
    </row>
    <row r="142" spans="1:11" x14ac:dyDescent="0.2">
      <c r="A142" s="10">
        <v>18219</v>
      </c>
      <c r="B142" s="11">
        <v>42326</v>
      </c>
      <c r="C142" s="12">
        <v>16.78</v>
      </c>
      <c r="D142" s="12">
        <v>1.28</v>
      </c>
      <c r="E142" s="17"/>
      <c r="H142" s="12"/>
      <c r="I142" s="16"/>
      <c r="J142" s="8"/>
      <c r="K142" s="150"/>
    </row>
    <row r="143" spans="1:11" x14ac:dyDescent="0.2">
      <c r="A143" s="10">
        <v>18220</v>
      </c>
      <c r="B143" s="11">
        <v>42326</v>
      </c>
      <c r="C143" s="12">
        <v>16.239999999999998</v>
      </c>
      <c r="D143" s="12">
        <v>1.24</v>
      </c>
      <c r="E143" s="15" t="s">
        <v>11</v>
      </c>
      <c r="F143" s="21"/>
      <c r="G143" s="22"/>
      <c r="H143" s="10"/>
      <c r="I143" s="16"/>
      <c r="J143" s="8"/>
      <c r="K143" s="150"/>
    </row>
    <row r="144" spans="1:11" x14ac:dyDescent="0.2">
      <c r="A144" s="10">
        <v>18221</v>
      </c>
      <c r="B144" s="11">
        <v>42326</v>
      </c>
      <c r="C144" s="12">
        <v>30</v>
      </c>
      <c r="D144" s="12">
        <v>2.29</v>
      </c>
      <c r="E144" s="15" t="s">
        <v>13</v>
      </c>
      <c r="H144" s="10"/>
      <c r="I144" s="16"/>
      <c r="J144" s="8"/>
      <c r="K144" s="150"/>
    </row>
    <row r="145" spans="1:11" x14ac:dyDescent="0.2">
      <c r="A145" s="10">
        <v>18222</v>
      </c>
      <c r="B145" s="11">
        <v>42326</v>
      </c>
      <c r="C145" s="12">
        <v>66.5</v>
      </c>
      <c r="D145" s="12"/>
      <c r="E145" s="15" t="s">
        <v>33</v>
      </c>
      <c r="H145" s="10"/>
      <c r="I145" s="16"/>
      <c r="J145" s="8"/>
      <c r="K145" s="150"/>
    </row>
    <row r="146" spans="1:11" x14ac:dyDescent="0.2">
      <c r="A146" s="10">
        <v>18223</v>
      </c>
      <c r="B146" s="11">
        <v>42326</v>
      </c>
      <c r="C146" s="12">
        <v>30</v>
      </c>
      <c r="D146" s="12"/>
      <c r="E146" s="15" t="s">
        <v>33</v>
      </c>
      <c r="H146" s="10"/>
      <c r="I146" s="16"/>
      <c r="J146" s="8"/>
      <c r="K146" s="150"/>
    </row>
    <row r="147" spans="1:11" x14ac:dyDescent="0.2">
      <c r="A147" s="10">
        <v>18224</v>
      </c>
      <c r="B147" s="11">
        <v>42326</v>
      </c>
      <c r="C147" s="12">
        <v>64.95</v>
      </c>
      <c r="D147" s="12">
        <v>4.95</v>
      </c>
      <c r="E147" s="17"/>
      <c r="H147" s="12"/>
      <c r="I147" s="16"/>
      <c r="J147" s="8"/>
      <c r="K147" s="150"/>
    </row>
    <row r="148" spans="1:11" x14ac:dyDescent="0.2">
      <c r="A148" s="10">
        <v>18225</v>
      </c>
      <c r="B148" s="11">
        <v>42326</v>
      </c>
      <c r="C148" s="12">
        <v>12.94</v>
      </c>
      <c r="D148" s="12">
        <v>0.99</v>
      </c>
      <c r="E148" s="17"/>
      <c r="H148" s="12"/>
      <c r="I148" s="16"/>
      <c r="J148" s="8"/>
      <c r="K148" s="150"/>
    </row>
    <row r="149" spans="1:11" x14ac:dyDescent="0.2">
      <c r="A149" s="10">
        <v>18226</v>
      </c>
      <c r="B149" s="11">
        <v>42326</v>
      </c>
      <c r="C149" s="12">
        <v>70.36</v>
      </c>
      <c r="D149" s="12">
        <v>5.36</v>
      </c>
      <c r="E149" s="15" t="s">
        <v>11</v>
      </c>
      <c r="F149" s="21"/>
      <c r="G149" s="22"/>
      <c r="H149" s="10"/>
      <c r="I149" s="16"/>
      <c r="J149" s="8"/>
      <c r="K149" s="150"/>
    </row>
    <row r="150" spans="1:11" x14ac:dyDescent="0.2">
      <c r="A150" s="10">
        <v>18227</v>
      </c>
      <c r="B150" s="11">
        <v>42326</v>
      </c>
      <c r="C150" s="12">
        <v>53</v>
      </c>
      <c r="D150" s="12">
        <v>4.04</v>
      </c>
      <c r="E150" s="17"/>
      <c r="F150" s="34">
        <f>+C143+C144+C145+C146+C149</f>
        <v>213.10000000000002</v>
      </c>
      <c r="G150" s="34">
        <v>208.77</v>
      </c>
      <c r="H150" s="12"/>
      <c r="I150" s="16"/>
      <c r="J150" s="8"/>
      <c r="K150" s="150"/>
    </row>
    <row r="151" spans="1:11" x14ac:dyDescent="0.2">
      <c r="A151" s="10">
        <v>18228</v>
      </c>
      <c r="B151" s="11">
        <v>42327</v>
      </c>
      <c r="C151" s="12">
        <v>16.239999999999998</v>
      </c>
      <c r="D151" s="12">
        <v>1.24</v>
      </c>
      <c r="E151" s="17"/>
      <c r="F151" s="18"/>
      <c r="G151" s="19"/>
      <c r="H151" s="12"/>
      <c r="I151" s="16"/>
      <c r="J151" s="8"/>
      <c r="K151" s="150"/>
    </row>
    <row r="152" spans="1:11" x14ac:dyDescent="0.2">
      <c r="A152" s="10">
        <v>18229</v>
      </c>
      <c r="B152" s="11">
        <v>42327</v>
      </c>
      <c r="C152" s="12">
        <v>65.599999999999994</v>
      </c>
      <c r="D152" s="12">
        <v>5</v>
      </c>
      <c r="E152" s="15" t="s">
        <v>7</v>
      </c>
      <c r="F152" s="21"/>
      <c r="G152" s="22"/>
      <c r="H152" s="10"/>
      <c r="I152" s="16"/>
      <c r="J152" s="8"/>
      <c r="K152" s="150"/>
    </row>
    <row r="153" spans="1:11" x14ac:dyDescent="0.2">
      <c r="A153" s="10">
        <v>18230</v>
      </c>
      <c r="B153" s="11">
        <v>42327</v>
      </c>
      <c r="C153" s="12">
        <v>21.65</v>
      </c>
      <c r="D153" s="12">
        <v>1.65</v>
      </c>
      <c r="E153" s="13"/>
      <c r="F153" s="18"/>
      <c r="G153" s="19"/>
      <c r="H153" s="12"/>
      <c r="I153" s="16"/>
      <c r="J153" s="8"/>
      <c r="K153" s="150"/>
    </row>
    <row r="154" spans="1:11" x14ac:dyDescent="0.2">
      <c r="A154" s="10">
        <v>18231</v>
      </c>
      <c r="B154" s="11">
        <v>42327</v>
      </c>
      <c r="C154" s="12">
        <v>37.89</v>
      </c>
      <c r="D154" s="12">
        <v>2.89</v>
      </c>
      <c r="E154" s="15" t="s">
        <v>7</v>
      </c>
      <c r="F154" s="21"/>
      <c r="G154" s="22"/>
      <c r="H154" s="10"/>
      <c r="I154" s="16"/>
      <c r="J154" s="8"/>
      <c r="K154" s="150"/>
    </row>
    <row r="155" spans="1:11" x14ac:dyDescent="0.2">
      <c r="A155" s="10">
        <v>18232</v>
      </c>
      <c r="B155" s="11">
        <v>42327</v>
      </c>
      <c r="C155" s="12">
        <v>200</v>
      </c>
      <c r="D155" s="12">
        <v>15.24</v>
      </c>
      <c r="E155" s="15" t="s">
        <v>11</v>
      </c>
      <c r="H155" s="10"/>
      <c r="I155" s="16"/>
      <c r="J155" s="8"/>
      <c r="K155" s="150"/>
    </row>
    <row r="156" spans="1:11" x14ac:dyDescent="0.2">
      <c r="A156" s="10">
        <v>18233</v>
      </c>
      <c r="B156" s="11">
        <v>42327</v>
      </c>
      <c r="C156" s="12">
        <v>107</v>
      </c>
      <c r="D156" s="12">
        <v>8.15</v>
      </c>
      <c r="E156" s="17"/>
      <c r="F156" s="18"/>
      <c r="G156" s="19"/>
      <c r="H156" s="12"/>
      <c r="I156" s="16"/>
      <c r="J156" s="8"/>
      <c r="K156" s="150"/>
    </row>
    <row r="157" spans="1:11" x14ac:dyDescent="0.2">
      <c r="A157" s="10">
        <v>18234</v>
      </c>
      <c r="B157" s="11">
        <v>42327</v>
      </c>
      <c r="C157" s="12">
        <v>32.81</v>
      </c>
      <c r="D157" s="12"/>
      <c r="E157" s="15" t="s">
        <v>496</v>
      </c>
      <c r="H157" s="10"/>
      <c r="I157" s="16"/>
      <c r="J157" s="8"/>
      <c r="K157" s="150"/>
    </row>
    <row r="158" spans="1:11" x14ac:dyDescent="0.2">
      <c r="A158" s="10">
        <v>18235</v>
      </c>
      <c r="B158" s="11">
        <v>42327</v>
      </c>
      <c r="C158" s="12">
        <v>15.16</v>
      </c>
      <c r="D158" s="12">
        <v>1.1599999999999999</v>
      </c>
      <c r="E158" s="17"/>
      <c r="H158" s="12"/>
      <c r="I158" s="16"/>
      <c r="J158" s="8"/>
      <c r="K158" s="150"/>
    </row>
    <row r="159" spans="1:11" x14ac:dyDescent="0.2">
      <c r="A159" s="10">
        <v>18236</v>
      </c>
      <c r="B159" s="11">
        <v>42327</v>
      </c>
      <c r="C159" s="12">
        <v>581.29999999999995</v>
      </c>
      <c r="D159" s="12">
        <v>44.3</v>
      </c>
      <c r="E159" s="15" t="s">
        <v>11</v>
      </c>
      <c r="H159" s="10"/>
      <c r="I159" s="16"/>
      <c r="J159" s="8"/>
      <c r="K159" s="150"/>
    </row>
    <row r="160" spans="1:11" x14ac:dyDescent="0.2">
      <c r="A160" s="10">
        <v>18237</v>
      </c>
      <c r="B160" s="11">
        <v>42327</v>
      </c>
      <c r="C160" s="12">
        <v>150</v>
      </c>
      <c r="D160" s="12">
        <v>11.43</v>
      </c>
      <c r="E160" s="17"/>
      <c r="H160" s="12"/>
      <c r="I160" s="16"/>
      <c r="J160" s="8"/>
      <c r="K160" s="150"/>
    </row>
    <row r="161" spans="1:11" x14ac:dyDescent="0.2">
      <c r="A161" s="10">
        <v>18238</v>
      </c>
      <c r="B161" s="11">
        <v>42327</v>
      </c>
      <c r="C161" s="12">
        <v>82</v>
      </c>
      <c r="D161" s="12">
        <v>6.25</v>
      </c>
      <c r="E161" s="17"/>
      <c r="H161" s="12"/>
      <c r="I161" s="16"/>
      <c r="J161" s="8"/>
      <c r="K161" s="150"/>
    </row>
    <row r="162" spans="1:11" x14ac:dyDescent="0.2">
      <c r="A162" s="10">
        <v>18239</v>
      </c>
      <c r="B162" s="11">
        <v>42327</v>
      </c>
      <c r="C162" s="12">
        <v>106</v>
      </c>
      <c r="D162" s="12">
        <v>8.08</v>
      </c>
      <c r="E162" s="17"/>
      <c r="H162" s="12"/>
      <c r="I162" s="16"/>
      <c r="J162" s="8"/>
      <c r="K162" s="150"/>
    </row>
    <row r="163" spans="1:11" x14ac:dyDescent="0.2">
      <c r="A163" s="10">
        <v>18240</v>
      </c>
      <c r="B163" s="11">
        <v>42327</v>
      </c>
      <c r="C163" s="12">
        <v>10.83</v>
      </c>
      <c r="D163" s="12">
        <v>0.83</v>
      </c>
      <c r="E163" s="15" t="s">
        <v>11</v>
      </c>
      <c r="F163" s="21"/>
      <c r="G163" s="22"/>
      <c r="H163" s="10"/>
      <c r="I163" s="16"/>
      <c r="J163" s="8"/>
      <c r="K163" s="150"/>
    </row>
    <row r="164" spans="1:11" x14ac:dyDescent="0.2">
      <c r="A164" s="10">
        <v>18241</v>
      </c>
      <c r="B164" s="11">
        <v>42327</v>
      </c>
      <c r="C164" s="12">
        <v>20.98</v>
      </c>
      <c r="D164" s="12"/>
      <c r="E164" s="15" t="s">
        <v>359</v>
      </c>
      <c r="F164" s="34">
        <f>+C152+C154+C155+C157+C159+C163</f>
        <v>928.43</v>
      </c>
      <c r="G164" s="34">
        <v>914.16</v>
      </c>
      <c r="H164" s="10"/>
      <c r="I164" s="16"/>
      <c r="J164" s="8"/>
      <c r="K164" s="150"/>
    </row>
    <row r="165" spans="1:11" x14ac:dyDescent="0.2">
      <c r="A165" s="10">
        <v>18242</v>
      </c>
      <c r="B165" s="11">
        <v>42328</v>
      </c>
      <c r="C165" s="12">
        <v>107.17</v>
      </c>
      <c r="D165" s="12">
        <v>8.17</v>
      </c>
      <c r="E165" s="13" t="s">
        <v>505</v>
      </c>
      <c r="H165" s="12"/>
      <c r="I165" s="16"/>
      <c r="J165" s="8"/>
      <c r="K165" s="150"/>
    </row>
    <row r="166" spans="1:11" x14ac:dyDescent="0.2">
      <c r="A166" s="10">
        <v>18243</v>
      </c>
      <c r="B166" s="11">
        <v>42328</v>
      </c>
      <c r="C166" s="12">
        <v>19.05</v>
      </c>
      <c r="D166" s="12">
        <v>1.45</v>
      </c>
      <c r="E166" s="15" t="s">
        <v>7</v>
      </c>
      <c r="H166" s="10"/>
      <c r="I166" s="16"/>
      <c r="J166" s="8"/>
      <c r="K166" s="150"/>
    </row>
    <row r="167" spans="1:11" x14ac:dyDescent="0.2">
      <c r="A167" s="10">
        <v>18244</v>
      </c>
      <c r="B167" s="11">
        <v>42328</v>
      </c>
      <c r="C167" s="12">
        <v>64.95</v>
      </c>
      <c r="D167" s="12">
        <v>4.95</v>
      </c>
      <c r="E167" s="17"/>
      <c r="H167" s="12"/>
      <c r="I167" s="16"/>
      <c r="J167" s="8"/>
      <c r="K167" s="150"/>
    </row>
    <row r="168" spans="1:11" x14ac:dyDescent="0.2">
      <c r="A168" s="10">
        <v>18245</v>
      </c>
      <c r="B168" s="11">
        <v>42328</v>
      </c>
      <c r="C168" s="12">
        <v>23.82</v>
      </c>
      <c r="D168" s="12">
        <v>1.82</v>
      </c>
      <c r="E168" s="15" t="s">
        <v>11</v>
      </c>
      <c r="H168" s="10"/>
      <c r="I168" s="16"/>
      <c r="J168" s="8"/>
      <c r="K168" s="150"/>
    </row>
    <row r="169" spans="1:11" x14ac:dyDescent="0.2">
      <c r="A169" s="10">
        <v>18246</v>
      </c>
      <c r="B169" s="11">
        <v>42328</v>
      </c>
      <c r="C169" s="12">
        <v>89.85</v>
      </c>
      <c r="D169" s="12">
        <v>6.85</v>
      </c>
      <c r="E169" s="17"/>
      <c r="F169" s="18"/>
      <c r="G169" s="19"/>
      <c r="H169" s="12"/>
      <c r="I169" s="16"/>
      <c r="J169" s="8"/>
      <c r="K169" s="150"/>
    </row>
    <row r="170" spans="1:11" x14ac:dyDescent="0.2">
      <c r="A170" s="10">
        <v>18247</v>
      </c>
      <c r="B170" s="11">
        <v>42328</v>
      </c>
      <c r="C170" s="12">
        <v>2.44</v>
      </c>
      <c r="D170" s="12">
        <v>0.19</v>
      </c>
      <c r="E170" s="17"/>
      <c r="F170" s="34">
        <f>+C166+130.68+C168</f>
        <v>173.55</v>
      </c>
      <c r="G170" s="34">
        <v>169.84</v>
      </c>
      <c r="H170" s="12"/>
      <c r="I170" s="16"/>
      <c r="J170" s="8"/>
      <c r="K170" s="150"/>
    </row>
    <row r="171" spans="1:11" x14ac:dyDescent="0.2">
      <c r="A171" s="10">
        <v>18248</v>
      </c>
      <c r="B171" s="11">
        <v>42329</v>
      </c>
      <c r="C171" s="12">
        <v>180.78</v>
      </c>
      <c r="D171" s="12">
        <v>13.78</v>
      </c>
      <c r="E171" s="15" t="s">
        <v>11</v>
      </c>
      <c r="H171" s="10"/>
      <c r="I171" s="16"/>
      <c r="J171" s="8"/>
      <c r="K171" s="150"/>
    </row>
    <row r="172" spans="1:11" x14ac:dyDescent="0.2">
      <c r="A172" s="10">
        <v>18249</v>
      </c>
      <c r="B172" s="11">
        <v>42329</v>
      </c>
      <c r="C172" s="12">
        <v>75.970000000000013</v>
      </c>
      <c r="D172" s="12">
        <v>5.79</v>
      </c>
      <c r="E172" s="17"/>
      <c r="F172" s="18"/>
      <c r="G172" s="19"/>
      <c r="H172" s="12"/>
      <c r="I172" s="16"/>
      <c r="J172" s="8"/>
      <c r="K172" s="150"/>
    </row>
    <row r="173" spans="1:11" x14ac:dyDescent="0.2">
      <c r="A173" s="10">
        <v>18250</v>
      </c>
      <c r="B173" s="11">
        <v>42329</v>
      </c>
      <c r="C173" s="12">
        <v>267.38</v>
      </c>
      <c r="D173" s="12">
        <v>20.38</v>
      </c>
      <c r="E173" s="15" t="s">
        <v>506</v>
      </c>
      <c r="H173" s="10"/>
      <c r="I173" s="16"/>
      <c r="J173" s="8"/>
      <c r="K173" s="150"/>
    </row>
    <row r="174" spans="1:11" x14ac:dyDescent="0.2">
      <c r="A174" s="10">
        <v>18251</v>
      </c>
      <c r="B174" s="11">
        <v>42329</v>
      </c>
      <c r="C174" s="12">
        <v>14.97</v>
      </c>
      <c r="D174" s="12"/>
      <c r="E174" s="13" t="s">
        <v>453</v>
      </c>
      <c r="F174" s="18"/>
      <c r="G174" s="19"/>
      <c r="H174" s="12"/>
      <c r="I174" s="16"/>
      <c r="J174" s="8"/>
      <c r="K174" s="150"/>
    </row>
    <row r="175" spans="1:11" x14ac:dyDescent="0.2">
      <c r="A175" s="10">
        <v>18252</v>
      </c>
      <c r="B175" s="11">
        <v>42329</v>
      </c>
      <c r="C175" s="12">
        <v>68</v>
      </c>
      <c r="D175" s="12"/>
      <c r="E175" s="13" t="s">
        <v>365</v>
      </c>
      <c r="F175" s="18"/>
      <c r="G175" s="19"/>
      <c r="H175" s="12"/>
      <c r="I175" s="16"/>
      <c r="J175" s="8"/>
      <c r="K175" s="150"/>
    </row>
    <row r="176" spans="1:11" x14ac:dyDescent="0.2">
      <c r="A176" s="10">
        <v>18253</v>
      </c>
      <c r="B176" s="11">
        <v>42329</v>
      </c>
      <c r="C176" s="12">
        <v>17</v>
      </c>
      <c r="D176" s="12"/>
      <c r="E176" s="15" t="s">
        <v>33</v>
      </c>
      <c r="H176" s="10"/>
      <c r="I176" s="16"/>
      <c r="J176" s="8"/>
      <c r="K176" s="150"/>
    </row>
    <row r="177" spans="1:11" x14ac:dyDescent="0.2">
      <c r="A177" s="10">
        <v>18254</v>
      </c>
      <c r="B177" s="11">
        <v>42329</v>
      </c>
      <c r="C177" s="12">
        <v>74.69</v>
      </c>
      <c r="D177" s="12">
        <v>5.69</v>
      </c>
      <c r="E177" s="15" t="s">
        <v>507</v>
      </c>
      <c r="F177" s="21"/>
      <c r="G177" s="22"/>
      <c r="H177" s="10"/>
      <c r="I177" s="16"/>
      <c r="J177" s="8"/>
      <c r="K177" s="150"/>
    </row>
    <row r="178" spans="1:11" x14ac:dyDescent="0.2">
      <c r="A178" s="10">
        <v>18255</v>
      </c>
      <c r="B178" s="11">
        <v>42329</v>
      </c>
      <c r="C178" s="12">
        <v>24.9</v>
      </c>
      <c r="D178" s="12">
        <v>1.9</v>
      </c>
      <c r="E178" s="15" t="s">
        <v>7</v>
      </c>
      <c r="F178" s="21"/>
      <c r="G178" s="22"/>
      <c r="H178" s="10"/>
      <c r="I178" s="16"/>
      <c r="J178" s="8"/>
      <c r="K178" s="150"/>
    </row>
    <row r="179" spans="1:11" x14ac:dyDescent="0.2">
      <c r="A179" s="10">
        <v>18256</v>
      </c>
      <c r="B179" s="11">
        <v>42329</v>
      </c>
      <c r="C179" s="12">
        <v>15.1</v>
      </c>
      <c r="D179" s="12">
        <v>1.1499999999999999</v>
      </c>
      <c r="E179" s="15" t="s">
        <v>7</v>
      </c>
      <c r="H179" s="10"/>
      <c r="I179" s="16"/>
      <c r="J179" s="8"/>
      <c r="K179" s="150"/>
    </row>
    <row r="180" spans="1:11" x14ac:dyDescent="0.2">
      <c r="A180" s="10">
        <v>18257</v>
      </c>
      <c r="B180" s="11">
        <v>42329</v>
      </c>
      <c r="C180" s="12">
        <v>90</v>
      </c>
      <c r="D180" s="12">
        <v>6.86</v>
      </c>
      <c r="E180" s="17"/>
      <c r="F180" s="18"/>
      <c r="G180" s="19"/>
      <c r="H180" s="12"/>
      <c r="I180" s="16"/>
      <c r="J180" s="8"/>
      <c r="K180" s="150"/>
    </row>
    <row r="181" spans="1:11" x14ac:dyDescent="0.2">
      <c r="A181" s="10">
        <v>18258</v>
      </c>
      <c r="B181" s="11">
        <v>42329</v>
      </c>
      <c r="C181" s="12">
        <v>16.239999999999998</v>
      </c>
      <c r="D181" s="12">
        <v>1.24</v>
      </c>
      <c r="E181" s="17"/>
      <c r="F181" s="18"/>
      <c r="G181" s="19"/>
      <c r="H181" s="12"/>
      <c r="I181" s="16"/>
      <c r="J181" s="8"/>
      <c r="K181" s="150"/>
    </row>
    <row r="182" spans="1:11" x14ac:dyDescent="0.2">
      <c r="A182" s="10">
        <v>18259</v>
      </c>
      <c r="B182" s="11">
        <v>42329</v>
      </c>
      <c r="C182" s="12">
        <v>55.999999999999993</v>
      </c>
      <c r="D182" s="12">
        <v>4.26</v>
      </c>
      <c r="E182" s="17"/>
      <c r="H182" s="12"/>
      <c r="I182" s="16"/>
      <c r="J182" s="8"/>
      <c r="K182" s="150"/>
    </row>
    <row r="183" spans="1:11" x14ac:dyDescent="0.2">
      <c r="A183" s="10">
        <v>18260</v>
      </c>
      <c r="B183" s="11">
        <v>42329</v>
      </c>
      <c r="C183" s="12">
        <v>81.19</v>
      </c>
      <c r="D183" s="12">
        <v>6.19</v>
      </c>
      <c r="E183" s="17"/>
      <c r="F183" s="34">
        <f>+C171+C176+C177+C178+C179+43.3+25.97</f>
        <v>381.74</v>
      </c>
      <c r="G183" s="34">
        <v>378.26</v>
      </c>
      <c r="H183" s="12"/>
      <c r="I183" s="16"/>
      <c r="J183" s="8"/>
      <c r="K183" s="150"/>
    </row>
    <row r="184" spans="1:11" x14ac:dyDescent="0.2">
      <c r="A184" s="10">
        <v>18261</v>
      </c>
      <c r="B184" s="11">
        <v>42331</v>
      </c>
      <c r="C184" s="12">
        <v>6.44</v>
      </c>
      <c r="D184" s="12">
        <v>0.49</v>
      </c>
      <c r="E184" s="15" t="s">
        <v>7</v>
      </c>
      <c r="H184" s="10"/>
      <c r="I184" s="16"/>
      <c r="J184" s="8"/>
      <c r="K184" s="150"/>
    </row>
    <row r="185" spans="1:11" x14ac:dyDescent="0.2">
      <c r="A185" s="10">
        <v>18262</v>
      </c>
      <c r="B185" s="11">
        <v>42331</v>
      </c>
      <c r="C185" s="12">
        <v>21.65</v>
      </c>
      <c r="D185" s="12">
        <v>1.65</v>
      </c>
      <c r="E185" s="17"/>
      <c r="H185" s="12"/>
      <c r="I185" s="16"/>
      <c r="J185" s="8"/>
      <c r="K185" s="150"/>
    </row>
    <row r="186" spans="1:11" x14ac:dyDescent="0.2">
      <c r="A186" s="10">
        <v>18263</v>
      </c>
      <c r="B186" s="11">
        <v>42331</v>
      </c>
      <c r="C186" s="12">
        <v>35.67</v>
      </c>
      <c r="D186" s="12">
        <v>2.72</v>
      </c>
      <c r="E186" s="15" t="s">
        <v>7</v>
      </c>
      <c r="F186" s="21"/>
      <c r="G186" s="22"/>
      <c r="H186" s="10"/>
      <c r="I186" s="16"/>
      <c r="J186" s="8"/>
      <c r="K186" s="150"/>
    </row>
    <row r="187" spans="1:11" x14ac:dyDescent="0.2">
      <c r="A187" s="10">
        <v>18264</v>
      </c>
      <c r="B187" s="11">
        <v>42331</v>
      </c>
      <c r="C187" s="12">
        <v>119.08</v>
      </c>
      <c r="D187" s="12">
        <v>9.08</v>
      </c>
      <c r="E187" s="15" t="s">
        <v>11</v>
      </c>
      <c r="H187" s="10"/>
      <c r="I187" s="16"/>
      <c r="J187" s="8"/>
      <c r="K187" s="150"/>
    </row>
    <row r="188" spans="1:11" x14ac:dyDescent="0.2">
      <c r="A188" s="10">
        <v>18265</v>
      </c>
      <c r="B188" s="11">
        <v>42331</v>
      </c>
      <c r="C188" s="12">
        <v>90</v>
      </c>
      <c r="D188" s="12">
        <v>6.86</v>
      </c>
      <c r="E188" s="17"/>
      <c r="H188" s="12"/>
      <c r="I188" s="16"/>
      <c r="J188" s="8"/>
      <c r="K188" s="150"/>
    </row>
    <row r="189" spans="1:11" x14ac:dyDescent="0.2">
      <c r="A189" s="10">
        <v>18266</v>
      </c>
      <c r="B189" s="11">
        <v>42331</v>
      </c>
      <c r="C189" s="12">
        <v>10</v>
      </c>
      <c r="D189" s="12">
        <v>0.76</v>
      </c>
      <c r="E189" s="17"/>
      <c r="F189" s="18"/>
      <c r="G189" s="19"/>
      <c r="H189" s="12"/>
      <c r="I189" s="16"/>
      <c r="J189" s="8"/>
      <c r="K189" s="150"/>
    </row>
    <row r="190" spans="1:11" x14ac:dyDescent="0.2">
      <c r="A190" s="10">
        <v>18267</v>
      </c>
      <c r="B190" s="11">
        <v>42331</v>
      </c>
      <c r="C190" s="12">
        <v>10</v>
      </c>
      <c r="D190" s="12">
        <v>0.76</v>
      </c>
      <c r="E190" s="17"/>
      <c r="F190" s="34">
        <f>+C184+C186+C187</f>
        <v>161.19</v>
      </c>
      <c r="G190" s="34">
        <v>157.9</v>
      </c>
      <c r="H190" s="12"/>
      <c r="I190" s="16"/>
      <c r="J190" s="8"/>
      <c r="K190" s="150"/>
    </row>
    <row r="191" spans="1:11" x14ac:dyDescent="0.2">
      <c r="A191" s="10">
        <v>18268</v>
      </c>
      <c r="B191" s="11">
        <v>42332</v>
      </c>
      <c r="C191" s="12">
        <v>65</v>
      </c>
      <c r="D191" s="12">
        <v>4.95</v>
      </c>
      <c r="E191" s="15" t="s">
        <v>7</v>
      </c>
      <c r="H191" s="10"/>
      <c r="I191" s="16"/>
      <c r="J191" s="8"/>
      <c r="K191" s="150"/>
    </row>
    <row r="192" spans="1:11" x14ac:dyDescent="0.2">
      <c r="A192" s="10">
        <v>18269</v>
      </c>
      <c r="B192" s="11">
        <v>42332</v>
      </c>
      <c r="C192" s="12">
        <v>16.239999999999998</v>
      </c>
      <c r="D192" s="12">
        <v>1.24</v>
      </c>
      <c r="E192" s="17"/>
      <c r="H192" s="12"/>
      <c r="I192" s="16"/>
      <c r="J192" s="8"/>
      <c r="K192" s="150"/>
    </row>
    <row r="193" spans="1:11" x14ac:dyDescent="0.2">
      <c r="A193" s="10">
        <v>18270</v>
      </c>
      <c r="B193" s="11">
        <v>42332</v>
      </c>
      <c r="C193" s="12">
        <v>134.18</v>
      </c>
      <c r="D193" s="12">
        <v>10.23</v>
      </c>
      <c r="E193" s="15" t="s">
        <v>11</v>
      </c>
      <c r="H193" s="10"/>
      <c r="I193" s="16"/>
      <c r="J193" s="8"/>
      <c r="K193" s="150"/>
    </row>
    <row r="194" spans="1:11" x14ac:dyDescent="0.2">
      <c r="A194" s="10">
        <v>18271</v>
      </c>
      <c r="B194" s="11">
        <v>42332</v>
      </c>
      <c r="C194" s="12">
        <v>25.98</v>
      </c>
      <c r="D194" s="12">
        <v>1.98</v>
      </c>
      <c r="E194" s="17"/>
      <c r="F194" s="18"/>
      <c r="G194" s="19"/>
      <c r="H194" s="12"/>
      <c r="I194" s="16"/>
      <c r="J194" s="8"/>
      <c r="K194" s="150"/>
    </row>
    <row r="195" spans="1:11" x14ac:dyDescent="0.2">
      <c r="A195" s="10">
        <v>18272</v>
      </c>
      <c r="B195" s="11">
        <v>42332</v>
      </c>
      <c r="C195" s="12">
        <v>0</v>
      </c>
      <c r="D195" s="12">
        <v>0</v>
      </c>
      <c r="E195" s="13" t="s">
        <v>508</v>
      </c>
      <c r="H195" s="12"/>
      <c r="I195" s="16"/>
      <c r="J195" s="8"/>
      <c r="K195" s="150"/>
    </row>
    <row r="196" spans="1:11" x14ac:dyDescent="0.2">
      <c r="A196" s="10">
        <v>18273</v>
      </c>
      <c r="B196" s="11">
        <v>42332</v>
      </c>
      <c r="C196" s="12">
        <v>28.15</v>
      </c>
      <c r="D196" s="12">
        <v>2.15</v>
      </c>
      <c r="E196" s="17"/>
      <c r="F196" s="34">
        <f>+C191+C193</f>
        <v>199.18</v>
      </c>
      <c r="G196" s="34">
        <v>197.86</v>
      </c>
      <c r="H196" s="12"/>
      <c r="I196" s="16"/>
      <c r="J196" s="8"/>
      <c r="K196" s="150"/>
    </row>
    <row r="197" spans="1:11" x14ac:dyDescent="0.2">
      <c r="A197" s="10">
        <v>18274</v>
      </c>
      <c r="B197" s="11">
        <v>42333</v>
      </c>
      <c r="C197" s="12">
        <v>114.75</v>
      </c>
      <c r="D197" s="12">
        <v>8.75</v>
      </c>
      <c r="E197" s="15" t="s">
        <v>11</v>
      </c>
      <c r="H197" s="10"/>
      <c r="I197" s="16"/>
      <c r="J197" s="8"/>
      <c r="K197" s="150"/>
    </row>
    <row r="198" spans="1:11" x14ac:dyDescent="0.2">
      <c r="A198" s="10">
        <v>18275</v>
      </c>
      <c r="B198" s="11">
        <v>42333</v>
      </c>
      <c r="C198" s="12">
        <v>18.5</v>
      </c>
      <c r="D198" s="12"/>
      <c r="E198" s="15" t="s">
        <v>509</v>
      </c>
      <c r="H198" s="10"/>
      <c r="I198" s="16"/>
      <c r="J198" s="8"/>
      <c r="K198" s="150"/>
    </row>
    <row r="199" spans="1:11" x14ac:dyDescent="0.2">
      <c r="A199" s="10">
        <v>18276</v>
      </c>
      <c r="B199" s="11">
        <v>42333</v>
      </c>
      <c r="C199" s="12">
        <v>8</v>
      </c>
      <c r="D199" s="12">
        <v>0.61</v>
      </c>
      <c r="E199" s="15" t="s">
        <v>21</v>
      </c>
      <c r="F199" s="21"/>
      <c r="G199" s="22"/>
      <c r="H199" s="10"/>
      <c r="I199" s="16"/>
      <c r="J199" s="8"/>
      <c r="K199" s="150"/>
    </row>
    <row r="200" spans="1:11" x14ac:dyDescent="0.2">
      <c r="A200" s="10">
        <v>18277</v>
      </c>
      <c r="B200" s="11">
        <v>42333</v>
      </c>
      <c r="C200" s="12">
        <v>15.16</v>
      </c>
      <c r="D200" s="12">
        <v>1.1599999999999999</v>
      </c>
      <c r="E200" s="15" t="s">
        <v>7</v>
      </c>
      <c r="H200" s="10"/>
      <c r="I200" s="16"/>
      <c r="J200" s="8"/>
      <c r="K200" s="150"/>
    </row>
    <row r="201" spans="1:11" x14ac:dyDescent="0.2">
      <c r="A201" s="10">
        <v>18278</v>
      </c>
      <c r="B201" s="11">
        <v>42333</v>
      </c>
      <c r="C201" s="12">
        <v>250.00000000000003</v>
      </c>
      <c r="D201" s="12">
        <v>19.05</v>
      </c>
      <c r="E201" s="17"/>
      <c r="H201" s="12"/>
      <c r="I201" s="16"/>
      <c r="J201" s="8"/>
      <c r="K201" s="150"/>
    </row>
    <row r="202" spans="1:11" x14ac:dyDescent="0.2">
      <c r="A202" s="10">
        <v>18279</v>
      </c>
      <c r="B202" s="11">
        <v>42333</v>
      </c>
      <c r="C202" s="12">
        <v>173.74</v>
      </c>
      <c r="D202" s="12">
        <v>13.24</v>
      </c>
      <c r="E202" s="15" t="s">
        <v>11</v>
      </c>
      <c r="H202" s="10"/>
      <c r="I202" s="16"/>
      <c r="J202" s="8"/>
      <c r="K202" s="150"/>
    </row>
    <row r="203" spans="1:11" x14ac:dyDescent="0.2">
      <c r="A203" s="10">
        <v>18280</v>
      </c>
      <c r="B203" s="11">
        <v>42333</v>
      </c>
      <c r="C203" s="12">
        <v>24.5</v>
      </c>
      <c r="D203" s="12"/>
      <c r="E203" s="15" t="s">
        <v>510</v>
      </c>
      <c r="H203" s="10"/>
      <c r="I203" s="16"/>
      <c r="J203" s="8"/>
      <c r="K203" s="150"/>
    </row>
    <row r="204" spans="1:11" x14ac:dyDescent="0.2">
      <c r="A204" s="10">
        <v>18281</v>
      </c>
      <c r="B204" s="11">
        <v>42333</v>
      </c>
      <c r="C204" s="12">
        <v>38.97</v>
      </c>
      <c r="D204" s="12">
        <v>2.97</v>
      </c>
      <c r="E204" s="17"/>
      <c r="H204" s="12"/>
      <c r="I204" s="16"/>
      <c r="J204" s="8"/>
      <c r="K204" s="150"/>
    </row>
    <row r="205" spans="1:11" x14ac:dyDescent="0.2">
      <c r="A205" s="10">
        <v>18282</v>
      </c>
      <c r="B205" s="11">
        <v>42333</v>
      </c>
      <c r="C205" s="12">
        <v>610</v>
      </c>
      <c r="D205" s="12">
        <v>46.49</v>
      </c>
      <c r="E205" s="17"/>
      <c r="F205" s="18"/>
      <c r="G205" s="19"/>
      <c r="H205" s="12"/>
      <c r="I205" s="16"/>
      <c r="J205" s="8"/>
      <c r="K205" s="150"/>
    </row>
    <row r="206" spans="1:11" x14ac:dyDescent="0.2">
      <c r="A206" s="10">
        <v>18283</v>
      </c>
      <c r="B206" s="11">
        <v>42333</v>
      </c>
      <c r="C206" s="12">
        <v>17</v>
      </c>
      <c r="D206" s="12">
        <v>1.3</v>
      </c>
      <c r="E206" s="17"/>
      <c r="F206" s="34">
        <f>+C197+C198+C200+21.19+C202+8</f>
        <v>351.34000000000003</v>
      </c>
      <c r="G206" s="34">
        <v>346.91</v>
      </c>
      <c r="H206" s="12"/>
      <c r="I206" s="16"/>
      <c r="J206" s="8"/>
      <c r="K206" s="150"/>
    </row>
    <row r="207" spans="1:11" x14ac:dyDescent="0.2">
      <c r="A207" s="10">
        <v>18284</v>
      </c>
      <c r="B207" s="11">
        <v>42335</v>
      </c>
      <c r="C207" s="12">
        <v>266.3</v>
      </c>
      <c r="D207" s="12">
        <v>20.3</v>
      </c>
      <c r="E207" s="15" t="s">
        <v>11</v>
      </c>
      <c r="H207" s="10"/>
      <c r="I207" s="16"/>
      <c r="J207" s="8"/>
      <c r="K207" s="150"/>
    </row>
    <row r="208" spans="1:11" x14ac:dyDescent="0.2">
      <c r="A208" s="10">
        <v>18285</v>
      </c>
      <c r="B208" s="11">
        <v>42335</v>
      </c>
      <c r="C208" s="12">
        <v>10</v>
      </c>
      <c r="D208" s="12">
        <v>0.75</v>
      </c>
      <c r="E208" s="15" t="s">
        <v>11</v>
      </c>
      <c r="H208" s="10"/>
      <c r="I208" s="16"/>
      <c r="J208" s="8"/>
      <c r="K208" s="150"/>
    </row>
    <row r="209" spans="1:11" x14ac:dyDescent="0.2">
      <c r="A209" s="10">
        <v>18286</v>
      </c>
      <c r="B209" s="11">
        <v>42335</v>
      </c>
      <c r="C209" s="12">
        <v>21.65</v>
      </c>
      <c r="D209" s="12">
        <v>1.65</v>
      </c>
      <c r="E209" s="17"/>
      <c r="F209" s="18"/>
      <c r="G209" s="19"/>
      <c r="H209" s="12"/>
      <c r="I209" s="16"/>
      <c r="J209" s="8"/>
      <c r="K209" s="150"/>
    </row>
    <row r="210" spans="1:11" x14ac:dyDescent="0.2">
      <c r="A210" s="10">
        <v>18287</v>
      </c>
      <c r="B210" s="11">
        <v>42335</v>
      </c>
      <c r="C210" s="12">
        <v>15.16</v>
      </c>
      <c r="D210" s="12">
        <v>1.1599999999999999</v>
      </c>
      <c r="E210" s="17"/>
      <c r="F210" s="18"/>
      <c r="G210" s="19"/>
      <c r="H210" s="12"/>
      <c r="I210" s="16"/>
      <c r="J210" s="8"/>
      <c r="K210" s="150"/>
    </row>
    <row r="211" spans="1:11" x14ac:dyDescent="0.2">
      <c r="A211" s="10">
        <v>18288</v>
      </c>
      <c r="B211" s="11">
        <v>42335</v>
      </c>
      <c r="C211" s="12">
        <v>15.05</v>
      </c>
      <c r="D211" s="12">
        <v>1.1499999999999999</v>
      </c>
      <c r="E211" s="17"/>
      <c r="F211" s="18"/>
      <c r="G211" s="19"/>
      <c r="H211" s="12"/>
      <c r="I211" s="16"/>
      <c r="J211" s="8"/>
      <c r="K211" s="150"/>
    </row>
    <row r="212" spans="1:11" x14ac:dyDescent="0.2">
      <c r="A212" s="10">
        <v>18289</v>
      </c>
      <c r="B212" s="11">
        <v>42335</v>
      </c>
      <c r="C212" s="12">
        <v>5</v>
      </c>
      <c r="D212" s="12">
        <v>0.38</v>
      </c>
      <c r="E212" s="15"/>
      <c r="F212" s="21"/>
      <c r="G212" s="22"/>
      <c r="H212" s="10"/>
      <c r="I212" s="16"/>
      <c r="J212" s="8"/>
      <c r="K212" s="150"/>
    </row>
    <row r="213" spans="1:11" x14ac:dyDescent="0.2">
      <c r="A213" s="10">
        <v>18290</v>
      </c>
      <c r="B213" s="11">
        <v>42335</v>
      </c>
      <c r="C213" s="12">
        <v>232.74</v>
      </c>
      <c r="D213" s="12">
        <v>17.739999999999998</v>
      </c>
      <c r="E213" s="13" t="s">
        <v>511</v>
      </c>
      <c r="H213" s="12"/>
      <c r="I213" s="16"/>
      <c r="J213" s="8"/>
      <c r="K213" s="150"/>
    </row>
    <row r="214" spans="1:11" x14ac:dyDescent="0.2">
      <c r="A214" s="10">
        <v>18291</v>
      </c>
      <c r="B214" s="11">
        <v>42335</v>
      </c>
      <c r="C214" s="12">
        <v>114</v>
      </c>
      <c r="D214" s="12"/>
      <c r="E214" s="13" t="s">
        <v>365</v>
      </c>
      <c r="F214" s="18"/>
      <c r="G214" s="19"/>
      <c r="H214" s="12"/>
      <c r="I214" s="16"/>
      <c r="J214" s="8"/>
      <c r="K214" s="150"/>
    </row>
    <row r="215" spans="1:11" x14ac:dyDescent="0.2">
      <c r="A215" s="10">
        <v>18292</v>
      </c>
      <c r="B215" s="11">
        <v>42335</v>
      </c>
      <c r="C215" s="12">
        <v>10.72</v>
      </c>
      <c r="D215" s="12">
        <v>0.82</v>
      </c>
      <c r="E215" s="17"/>
      <c r="H215" s="12"/>
      <c r="I215" s="16"/>
      <c r="J215" s="8"/>
      <c r="K215" s="150"/>
    </row>
    <row r="216" spans="1:11" x14ac:dyDescent="0.2">
      <c r="A216" s="10">
        <v>18293</v>
      </c>
      <c r="B216" s="11">
        <v>42335</v>
      </c>
      <c r="C216" s="12">
        <v>27.06</v>
      </c>
      <c r="D216" s="12">
        <v>2.06</v>
      </c>
      <c r="E216" s="17"/>
      <c r="H216" s="12"/>
      <c r="I216" s="16"/>
      <c r="J216" s="8"/>
      <c r="K216" s="150"/>
    </row>
    <row r="217" spans="1:11" x14ac:dyDescent="0.2">
      <c r="A217" s="10">
        <v>18294</v>
      </c>
      <c r="B217" s="11">
        <v>42335</v>
      </c>
      <c r="C217" s="12">
        <v>64.95</v>
      </c>
      <c r="D217" s="12">
        <v>4.95</v>
      </c>
      <c r="E217" s="15" t="s">
        <v>7</v>
      </c>
      <c r="H217" s="10"/>
      <c r="I217" s="16"/>
      <c r="J217" s="8"/>
      <c r="K217" s="150"/>
    </row>
    <row r="218" spans="1:11" x14ac:dyDescent="0.2">
      <c r="A218" s="10">
        <v>18295</v>
      </c>
      <c r="B218" s="11">
        <v>42335</v>
      </c>
      <c r="C218" s="12">
        <v>202</v>
      </c>
      <c r="D218" s="12">
        <v>15.39</v>
      </c>
      <c r="E218" s="17"/>
      <c r="F218" s="18"/>
      <c r="G218" s="19"/>
      <c r="H218" s="12"/>
      <c r="I218" s="16"/>
      <c r="J218" s="8"/>
      <c r="K218" s="150"/>
    </row>
    <row r="219" spans="1:11" x14ac:dyDescent="0.2">
      <c r="A219" s="10">
        <v>18296</v>
      </c>
      <c r="B219" s="11">
        <v>42335</v>
      </c>
      <c r="C219" s="12">
        <v>161.29</v>
      </c>
      <c r="D219" s="12">
        <v>12.29</v>
      </c>
      <c r="E219" s="15" t="s">
        <v>11</v>
      </c>
      <c r="H219" s="10"/>
      <c r="I219" s="16"/>
      <c r="J219" s="8"/>
      <c r="K219" s="150"/>
    </row>
    <row r="220" spans="1:11" x14ac:dyDescent="0.2">
      <c r="A220" s="10">
        <v>18297</v>
      </c>
      <c r="B220" s="11">
        <v>42335</v>
      </c>
      <c r="C220" s="12">
        <v>15</v>
      </c>
      <c r="D220" s="12">
        <v>1.1399999999999999</v>
      </c>
      <c r="E220" s="15" t="s">
        <v>87</v>
      </c>
      <c r="F220" s="34">
        <f>+C208+C217+112.74+C219</f>
        <v>348.98</v>
      </c>
      <c r="G220" s="34">
        <v>344.03</v>
      </c>
      <c r="H220" s="10"/>
      <c r="I220" s="16"/>
      <c r="J220" s="8"/>
      <c r="K220" s="150"/>
    </row>
    <row r="221" spans="1:11" x14ac:dyDescent="0.2">
      <c r="A221" s="10">
        <v>18298</v>
      </c>
      <c r="B221" s="11">
        <v>42336</v>
      </c>
      <c r="C221" s="12">
        <v>32.479999999999997</v>
      </c>
      <c r="D221" s="12">
        <v>2.48</v>
      </c>
      <c r="E221" s="15" t="s">
        <v>11</v>
      </c>
      <c r="H221" s="10"/>
      <c r="I221" s="16"/>
      <c r="J221" s="8"/>
      <c r="K221" s="150"/>
    </row>
    <row r="222" spans="1:11" x14ac:dyDescent="0.2">
      <c r="A222" s="10">
        <v>18299</v>
      </c>
      <c r="B222" s="11">
        <v>42336</v>
      </c>
      <c r="C222" s="12">
        <v>514.19000000000005</v>
      </c>
      <c r="D222" s="12">
        <v>39.19</v>
      </c>
      <c r="E222" s="13" t="s">
        <v>512</v>
      </c>
      <c r="F222" s="18"/>
      <c r="G222" s="19"/>
      <c r="H222" s="12"/>
      <c r="I222" s="16"/>
      <c r="J222" s="8"/>
      <c r="K222" s="150"/>
    </row>
    <row r="223" spans="1:11" x14ac:dyDescent="0.2">
      <c r="A223" s="10">
        <v>18300</v>
      </c>
      <c r="B223" s="11">
        <v>42336</v>
      </c>
      <c r="C223" s="12">
        <v>70.149999999999991</v>
      </c>
      <c r="D223" s="12">
        <v>5.35</v>
      </c>
      <c r="E223" s="15" t="s">
        <v>11</v>
      </c>
      <c r="F223" s="21"/>
      <c r="G223" s="22"/>
      <c r="H223" s="10"/>
      <c r="I223" s="16"/>
      <c r="J223" s="8"/>
      <c r="K223" s="150"/>
    </row>
    <row r="224" spans="1:11" x14ac:dyDescent="0.2">
      <c r="A224" s="10">
        <v>18301</v>
      </c>
      <c r="B224" s="11">
        <v>42336</v>
      </c>
      <c r="C224" s="12">
        <v>251</v>
      </c>
      <c r="D224" s="12">
        <v>19.13</v>
      </c>
      <c r="E224" s="17"/>
      <c r="H224" s="12"/>
      <c r="I224" s="16"/>
      <c r="J224" s="8"/>
      <c r="K224" s="150"/>
    </row>
    <row r="225" spans="1:13" x14ac:dyDescent="0.2">
      <c r="A225" s="10">
        <v>18302</v>
      </c>
      <c r="B225" s="11">
        <v>42336</v>
      </c>
      <c r="C225" s="12">
        <v>22.57</v>
      </c>
      <c r="D225" s="12">
        <v>1.72</v>
      </c>
      <c r="E225" s="15" t="s">
        <v>7</v>
      </c>
      <c r="H225" s="10"/>
      <c r="I225" s="16"/>
      <c r="J225" s="8"/>
      <c r="K225" s="150"/>
    </row>
    <row r="226" spans="1:13" x14ac:dyDescent="0.2">
      <c r="A226" s="10">
        <v>18303</v>
      </c>
      <c r="B226" s="11">
        <v>42336</v>
      </c>
      <c r="C226" s="12">
        <v>495.79</v>
      </c>
      <c r="D226" s="12">
        <v>37.79</v>
      </c>
      <c r="E226" s="15" t="s">
        <v>21</v>
      </c>
      <c r="F226" s="21"/>
      <c r="G226" s="22"/>
      <c r="H226" s="10"/>
      <c r="I226" s="16"/>
      <c r="J226" s="8"/>
      <c r="K226" s="150"/>
    </row>
    <row r="227" spans="1:13" x14ac:dyDescent="0.2">
      <c r="A227" s="10">
        <v>18304</v>
      </c>
      <c r="B227" s="11">
        <v>42336</v>
      </c>
      <c r="C227" s="12">
        <v>150.47</v>
      </c>
      <c r="D227" s="12">
        <v>11.47</v>
      </c>
      <c r="E227" s="15" t="s">
        <v>11</v>
      </c>
      <c r="H227" s="10"/>
      <c r="I227" s="16"/>
      <c r="J227" s="8"/>
      <c r="K227" s="150"/>
    </row>
    <row r="228" spans="1:13" x14ac:dyDescent="0.2">
      <c r="A228" s="10">
        <v>18305</v>
      </c>
      <c r="B228" s="11">
        <v>42336</v>
      </c>
      <c r="C228" s="12">
        <v>74.69</v>
      </c>
      <c r="D228" s="12">
        <v>5.69</v>
      </c>
      <c r="E228" s="15" t="s">
        <v>11</v>
      </c>
      <c r="F228" s="21"/>
      <c r="G228" s="22"/>
      <c r="H228" s="10"/>
      <c r="I228" s="16"/>
      <c r="J228" s="8"/>
      <c r="K228" s="150"/>
    </row>
    <row r="229" spans="1:13" x14ac:dyDescent="0.2">
      <c r="A229" s="10">
        <v>18306</v>
      </c>
      <c r="B229" s="11">
        <v>42336</v>
      </c>
      <c r="C229" s="12">
        <v>25.72</v>
      </c>
      <c r="D229" s="12">
        <v>1.96</v>
      </c>
      <c r="E229" s="17"/>
      <c r="F229" s="34">
        <f>+C221+240+C223+C225+C227+C228+C207</f>
        <v>856.65999999999985</v>
      </c>
      <c r="G229" s="34">
        <v>851.04</v>
      </c>
      <c r="H229" s="12"/>
      <c r="I229" s="16"/>
      <c r="J229" s="8"/>
      <c r="K229" s="150"/>
    </row>
    <row r="230" spans="1:13" x14ac:dyDescent="0.2">
      <c r="A230" s="10">
        <v>18307</v>
      </c>
      <c r="B230" s="11">
        <v>42338</v>
      </c>
      <c r="C230" s="12">
        <v>381.04</v>
      </c>
      <c r="D230" s="12">
        <v>29.04</v>
      </c>
      <c r="E230" s="15" t="s">
        <v>11</v>
      </c>
      <c r="H230" s="10"/>
      <c r="I230" s="16"/>
      <c r="J230" s="8"/>
      <c r="K230" s="150"/>
    </row>
    <row r="231" spans="1:13" x14ac:dyDescent="0.2">
      <c r="A231" s="10">
        <v>18308</v>
      </c>
      <c r="B231" s="11">
        <v>42338</v>
      </c>
      <c r="C231" s="12">
        <v>72</v>
      </c>
      <c r="D231" s="12">
        <v>5.49</v>
      </c>
      <c r="E231" s="17"/>
      <c r="H231" s="12"/>
      <c r="I231" s="16"/>
      <c r="J231" s="8"/>
      <c r="K231" s="150"/>
    </row>
    <row r="232" spans="1:13" x14ac:dyDescent="0.2">
      <c r="A232" s="10">
        <v>18309</v>
      </c>
      <c r="B232" s="11">
        <v>42338</v>
      </c>
      <c r="C232" s="12">
        <v>21.599999999999998</v>
      </c>
      <c r="D232" s="12">
        <v>1.65</v>
      </c>
      <c r="E232" s="15" t="s">
        <v>7</v>
      </c>
      <c r="H232" s="10"/>
      <c r="I232" s="16"/>
      <c r="J232" s="8"/>
      <c r="K232" s="150"/>
    </row>
    <row r="233" spans="1:13" x14ac:dyDescent="0.2">
      <c r="A233" s="10">
        <v>18310</v>
      </c>
      <c r="B233" s="11">
        <v>42338</v>
      </c>
      <c r="C233" s="12">
        <v>90.93</v>
      </c>
      <c r="D233" s="12">
        <v>6.93</v>
      </c>
      <c r="E233" s="15" t="s">
        <v>21</v>
      </c>
      <c r="F233" s="21"/>
      <c r="G233" s="22"/>
      <c r="H233" s="10"/>
      <c r="I233" s="16"/>
      <c r="J233" s="8"/>
      <c r="K233" s="150"/>
    </row>
    <row r="234" spans="1:13" x14ac:dyDescent="0.2">
      <c r="A234" s="10">
        <v>18311</v>
      </c>
      <c r="B234" s="11">
        <v>42338</v>
      </c>
      <c r="C234" s="12">
        <v>205</v>
      </c>
      <c r="D234" s="12">
        <v>15.62</v>
      </c>
      <c r="E234" s="17"/>
      <c r="F234" s="18"/>
      <c r="G234" s="19"/>
      <c r="H234" s="12"/>
      <c r="I234" s="16"/>
      <c r="J234" s="8"/>
      <c r="K234" s="150"/>
    </row>
    <row r="235" spans="1:13" x14ac:dyDescent="0.2">
      <c r="A235" s="10">
        <v>18312</v>
      </c>
      <c r="B235" s="11">
        <v>42338</v>
      </c>
      <c r="C235" s="12">
        <v>60</v>
      </c>
      <c r="D235" s="12">
        <v>4.57</v>
      </c>
      <c r="E235" s="17"/>
      <c r="H235" s="12"/>
      <c r="I235" s="16"/>
      <c r="J235" s="8"/>
      <c r="K235" s="150"/>
    </row>
    <row r="236" spans="1:13" x14ac:dyDescent="0.2">
      <c r="A236" s="10">
        <v>18313</v>
      </c>
      <c r="B236" s="11">
        <v>42338</v>
      </c>
      <c r="C236" s="12">
        <v>23.82</v>
      </c>
      <c r="D236" s="12">
        <v>1.82</v>
      </c>
      <c r="E236" s="17"/>
      <c r="F236" s="34">
        <f>+C230+C232</f>
        <v>402.64000000000004</v>
      </c>
      <c r="G236" s="34">
        <v>394.41</v>
      </c>
      <c r="H236" s="12"/>
      <c r="I236" s="16"/>
      <c r="J236" s="8"/>
      <c r="K236" s="150"/>
    </row>
    <row r="237" spans="1:13" x14ac:dyDescent="0.2">
      <c r="E237" s="26"/>
      <c r="H237" s="118"/>
      <c r="I237" s="119"/>
      <c r="J237" s="120"/>
      <c r="K237" s="120"/>
      <c r="L237" s="98"/>
      <c r="M237" s="98"/>
    </row>
    <row r="238" spans="1:13" x14ac:dyDescent="0.2">
      <c r="E238" s="26"/>
      <c r="H238" s="119"/>
      <c r="I238" s="120"/>
      <c r="J238" s="98"/>
      <c r="K238" s="120"/>
      <c r="L238" s="98"/>
      <c r="M238" s="98"/>
    </row>
    <row r="239" spans="1:13" x14ac:dyDescent="0.2">
      <c r="E239" s="26"/>
      <c r="H239" s="119"/>
      <c r="I239" s="120"/>
      <c r="J239" s="98"/>
      <c r="K239" s="120"/>
      <c r="L239" s="98"/>
      <c r="M239" s="98"/>
    </row>
    <row r="240" spans="1:13" x14ac:dyDescent="0.2">
      <c r="E240" s="26"/>
      <c r="H240" s="119"/>
      <c r="I240" s="120"/>
      <c r="J240" s="98"/>
      <c r="K240" s="98"/>
      <c r="L240" s="98"/>
      <c r="M240" s="98"/>
    </row>
    <row r="241" spans="5:13" x14ac:dyDescent="0.2">
      <c r="E241" s="26"/>
      <c r="H241" s="119"/>
      <c r="I241" s="120"/>
      <c r="J241" s="98"/>
      <c r="K241" s="98"/>
      <c r="L241" s="98"/>
      <c r="M241" s="98"/>
    </row>
    <row r="242" spans="5:13" x14ac:dyDescent="0.2">
      <c r="E242" s="26"/>
      <c r="H242" s="119"/>
      <c r="I242" s="120"/>
      <c r="J242" s="98"/>
      <c r="K242" s="98"/>
      <c r="L242" s="98"/>
      <c r="M242" s="98"/>
    </row>
    <row r="243" spans="5:13" x14ac:dyDescent="0.2">
      <c r="E243" s="26"/>
      <c r="H243" s="119"/>
      <c r="I243" s="120"/>
      <c r="J243" s="98"/>
      <c r="K243" s="120"/>
      <c r="L243" s="98"/>
      <c r="M243" s="98"/>
    </row>
    <row r="244" spans="5:13" x14ac:dyDescent="0.2">
      <c r="E244" s="26"/>
      <c r="H244" s="119"/>
      <c r="I244" s="120"/>
      <c r="J244" s="120"/>
      <c r="K244" s="120"/>
      <c r="L244" s="98"/>
      <c r="M244" s="98"/>
    </row>
    <row r="245" spans="5:13" x14ac:dyDescent="0.2">
      <c r="E245" s="26"/>
      <c r="H245" s="119"/>
      <c r="I245" s="120"/>
      <c r="J245" s="98"/>
      <c r="K245" s="120"/>
      <c r="L245" s="98"/>
      <c r="M245" s="98"/>
    </row>
    <row r="246" spans="5:13" x14ac:dyDescent="0.2">
      <c r="E246" s="26"/>
      <c r="H246" s="119"/>
      <c r="I246" s="120"/>
      <c r="J246" s="98"/>
      <c r="K246" s="120"/>
      <c r="L246" s="98"/>
      <c r="M246" s="98"/>
    </row>
    <row r="247" spans="5:13" x14ac:dyDescent="0.2">
      <c r="E247" s="26"/>
      <c r="H247" s="119"/>
      <c r="I247" s="120"/>
      <c r="J247" s="98"/>
      <c r="K247" s="120"/>
      <c r="L247" s="98"/>
      <c r="M247" s="98"/>
    </row>
    <row r="248" spans="5:13" x14ac:dyDescent="0.2">
      <c r="E248" s="26"/>
      <c r="H248" s="119"/>
      <c r="I248" s="120"/>
      <c r="J248" s="98"/>
      <c r="K248" s="120"/>
      <c r="L248" s="98"/>
      <c r="M248" s="98"/>
    </row>
    <row r="249" spans="5:13" x14ac:dyDescent="0.2">
      <c r="E249" s="26"/>
      <c r="H249" s="119"/>
      <c r="I249" s="120"/>
      <c r="J249" s="98"/>
      <c r="K249" s="120"/>
      <c r="L249" s="98"/>
      <c r="M249" s="98"/>
    </row>
    <row r="250" spans="5:13" x14ac:dyDescent="0.2">
      <c r="E250" s="26"/>
      <c r="H250" s="119"/>
      <c r="I250" s="120"/>
      <c r="J250" s="98"/>
      <c r="K250" s="120"/>
      <c r="L250" s="98"/>
      <c r="M250" s="98"/>
    </row>
    <row r="251" spans="5:13" x14ac:dyDescent="0.2">
      <c r="E251" s="26"/>
      <c r="H251" s="119"/>
      <c r="I251" s="120"/>
      <c r="J251" s="120"/>
      <c r="K251" s="98"/>
      <c r="L251" s="98"/>
      <c r="M251" s="98"/>
    </row>
    <row r="252" spans="5:13" x14ac:dyDescent="0.2">
      <c r="E252" s="26"/>
      <c r="H252" s="122"/>
      <c r="I252" s="98"/>
      <c r="J252" s="98"/>
      <c r="K252" s="98"/>
      <c r="L252" s="98"/>
      <c r="M252" s="98"/>
    </row>
    <row r="253" spans="5:13" x14ac:dyDescent="0.2">
      <c r="E253" s="26"/>
      <c r="H253" s="122"/>
      <c r="I253" s="98"/>
      <c r="J253" s="98"/>
      <c r="K253" s="98"/>
      <c r="L253" s="98"/>
      <c r="M253" s="98"/>
    </row>
    <row r="254" spans="5:13" x14ac:dyDescent="0.2">
      <c r="E254" s="26"/>
      <c r="H254" s="122"/>
      <c r="I254" s="98"/>
      <c r="J254" s="98"/>
      <c r="K254" s="98"/>
      <c r="L254" s="98"/>
      <c r="M254" s="98"/>
    </row>
    <row r="255" spans="5:13" x14ac:dyDescent="0.2">
      <c r="E255" s="26"/>
      <c r="H255" s="122"/>
      <c r="I255" s="98"/>
      <c r="J255" s="98"/>
      <c r="K255" s="98"/>
      <c r="L255" s="98"/>
      <c r="M255" s="98"/>
    </row>
    <row r="256" spans="5:13" x14ac:dyDescent="0.2">
      <c r="E256" s="26"/>
      <c r="H256" s="122"/>
      <c r="I256" s="98"/>
      <c r="J256" s="98"/>
      <c r="K256" s="98"/>
      <c r="L256" s="98"/>
      <c r="M256" s="98"/>
    </row>
    <row r="257" spans="5:13" x14ac:dyDescent="0.2">
      <c r="E257" s="26"/>
      <c r="H257" s="122"/>
      <c r="I257" s="98"/>
      <c r="J257" s="98"/>
      <c r="K257" s="98"/>
      <c r="L257" s="98"/>
      <c r="M257" s="98"/>
    </row>
    <row r="258" spans="5:13" x14ac:dyDescent="0.2">
      <c r="E258" s="26"/>
      <c r="H258" s="110"/>
      <c r="I258" s="126"/>
      <c r="J258" s="126"/>
      <c r="K258" s="126"/>
      <c r="L258" s="126"/>
    </row>
    <row r="259" spans="5:13" x14ac:dyDescent="0.2">
      <c r="E259" s="26"/>
    </row>
    <row r="260" spans="5:13" x14ac:dyDescent="0.2">
      <c r="E260" s="26"/>
    </row>
    <row r="261" spans="5:13" x14ac:dyDescent="0.2">
      <c r="E261" s="26"/>
    </row>
    <row r="262" spans="5:13" x14ac:dyDescent="0.2">
      <c r="E262" s="26"/>
    </row>
    <row r="263" spans="5:13" x14ac:dyDescent="0.2">
      <c r="E263" s="26"/>
    </row>
    <row r="264" spans="5:13" x14ac:dyDescent="0.2">
      <c r="E264" s="26"/>
    </row>
    <row r="265" spans="5:13" x14ac:dyDescent="0.2">
      <c r="E265" s="26"/>
    </row>
    <row r="266" spans="5:13" x14ac:dyDescent="0.2">
      <c r="E266" s="26"/>
    </row>
    <row r="267" spans="5:13" x14ac:dyDescent="0.2">
      <c r="E267" s="26"/>
    </row>
    <row r="268" spans="5:13" x14ac:dyDescent="0.2">
      <c r="E268" s="26"/>
    </row>
    <row r="269" spans="5:13" x14ac:dyDescent="0.2">
      <c r="E269" s="26"/>
    </row>
    <row r="270" spans="5:13" x14ac:dyDescent="0.2">
      <c r="E270" s="26"/>
    </row>
    <row r="271" spans="5:13" x14ac:dyDescent="0.2">
      <c r="E271" s="26"/>
    </row>
    <row r="272" spans="5:13" x14ac:dyDescent="0.2">
      <c r="E272" s="26"/>
    </row>
    <row r="273" spans="1:10" s="29" customFormat="1" x14ac:dyDescent="0.2">
      <c r="A273" s="4"/>
      <c r="B273" s="11"/>
      <c r="C273" s="25"/>
      <c r="D273" s="4"/>
      <c r="E273" s="26"/>
      <c r="F273" s="4"/>
      <c r="G273" s="4"/>
      <c r="H273" s="25"/>
      <c r="I273" s="4"/>
      <c r="J273" s="4"/>
    </row>
    <row r="274" spans="1:10" s="29" customFormat="1" x14ac:dyDescent="0.2">
      <c r="A274" s="4"/>
      <c r="B274" s="11"/>
      <c r="C274" s="25"/>
      <c r="D274" s="4"/>
      <c r="E274" s="26"/>
      <c r="F274" s="4"/>
      <c r="G274" s="4"/>
      <c r="H274" s="25"/>
      <c r="I274" s="4"/>
      <c r="J274" s="4"/>
    </row>
    <row r="275" spans="1:10" x14ac:dyDescent="0.2">
      <c r="E275" s="26"/>
    </row>
    <row r="276" spans="1:10" x14ac:dyDescent="0.2">
      <c r="A276" s="29"/>
      <c r="B276" s="30"/>
      <c r="C276" s="31"/>
      <c r="D276" s="29"/>
      <c r="E276" s="32"/>
      <c r="F276" s="29"/>
      <c r="G276" s="29"/>
      <c r="H276" s="31"/>
      <c r="I276" s="29"/>
      <c r="J276" s="29"/>
    </row>
    <row r="277" spans="1:10" x14ac:dyDescent="0.2">
      <c r="A277" s="29"/>
      <c r="B277" s="30"/>
      <c r="C277" s="31"/>
      <c r="D277" s="29"/>
      <c r="E277" s="32"/>
      <c r="F277" s="29"/>
      <c r="G277" s="29"/>
      <c r="H277" s="31"/>
      <c r="I277" s="29"/>
      <c r="J277" s="29"/>
    </row>
    <row r="278" spans="1:10" x14ac:dyDescent="0.2">
      <c r="E278" s="26"/>
    </row>
    <row r="279" spans="1:10" x14ac:dyDescent="0.2">
      <c r="E279" s="26"/>
    </row>
    <row r="280" spans="1:10" x14ac:dyDescent="0.2">
      <c r="E280" s="26"/>
    </row>
    <row r="281" spans="1:10" x14ac:dyDescent="0.2">
      <c r="E281" s="26"/>
    </row>
    <row r="282" spans="1:10" x14ac:dyDescent="0.2">
      <c r="E282" s="26"/>
    </row>
    <row r="283" spans="1:10" x14ac:dyDescent="0.2">
      <c r="E283" s="26"/>
    </row>
    <row r="284" spans="1:10" x14ac:dyDescent="0.2">
      <c r="E284" s="26"/>
    </row>
    <row r="285" spans="1:10" x14ac:dyDescent="0.2">
      <c r="E285" s="26"/>
    </row>
    <row r="286" spans="1:10" x14ac:dyDescent="0.2">
      <c r="E286" s="26"/>
    </row>
    <row r="287" spans="1:10" x14ac:dyDescent="0.2">
      <c r="E287" s="26"/>
    </row>
    <row r="288" spans="1:10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3346"/>
  <sheetViews>
    <sheetView topLeftCell="A286" workbookViewId="0">
      <selection activeCell="A331" sqref="A331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2" x14ac:dyDescent="0.2">
      <c r="A1" s="1" t="s">
        <v>0</v>
      </c>
      <c r="B1" s="2"/>
      <c r="C1" s="3">
        <f>SUM(C21:C528)</f>
        <v>31400.16999999998</v>
      </c>
      <c r="D1" s="3">
        <f>SUM(D21:D528)</f>
        <v>2103.7000000000007</v>
      </c>
      <c r="H1" s="5">
        <f ca="1">TODAY()</f>
        <v>43182</v>
      </c>
      <c r="I1" s="5"/>
      <c r="J1" s="5"/>
    </row>
    <row r="2" spans="1:12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2" s="8" customFormat="1" x14ac:dyDescent="0.2">
      <c r="A3" s="10">
        <v>15880</v>
      </c>
      <c r="B3" s="11">
        <v>42064</v>
      </c>
      <c r="C3" s="12">
        <v>156</v>
      </c>
      <c r="D3" s="12"/>
      <c r="E3" s="13" t="s">
        <v>279</v>
      </c>
      <c r="F3" s="33">
        <v>0</v>
      </c>
      <c r="G3" s="34">
        <f>+F3*0.97831</f>
        <v>0</v>
      </c>
      <c r="H3" s="14"/>
    </row>
    <row r="4" spans="1:12" s="8" customFormat="1" x14ac:dyDescent="0.2">
      <c r="A4" s="10">
        <v>15881</v>
      </c>
      <c r="B4" s="11">
        <v>42065</v>
      </c>
      <c r="C4" s="12">
        <v>22.73</v>
      </c>
      <c r="D4" s="12">
        <v>1.73</v>
      </c>
      <c r="E4" s="17"/>
      <c r="H4" s="14"/>
    </row>
    <row r="5" spans="1:12" s="8" customFormat="1" x14ac:dyDescent="0.2">
      <c r="A5" s="10">
        <v>15882</v>
      </c>
      <c r="B5" s="11">
        <v>42065</v>
      </c>
      <c r="C5" s="12">
        <v>42.22</v>
      </c>
      <c r="D5" s="12">
        <v>3.22</v>
      </c>
      <c r="E5" s="17"/>
      <c r="H5" s="14"/>
    </row>
    <row r="6" spans="1:12" s="8" customFormat="1" x14ac:dyDescent="0.2">
      <c r="A6" s="10">
        <v>15883</v>
      </c>
      <c r="B6" s="11">
        <v>42065</v>
      </c>
      <c r="C6" s="12">
        <v>98.4</v>
      </c>
      <c r="D6" s="12">
        <v>7.5</v>
      </c>
      <c r="E6" s="15" t="s">
        <v>7</v>
      </c>
      <c r="F6" s="21"/>
      <c r="G6" s="22"/>
      <c r="H6" s="16"/>
      <c r="I6" s="16"/>
    </row>
    <row r="7" spans="1:12" s="8" customFormat="1" x14ac:dyDescent="0.2">
      <c r="A7" s="10">
        <v>15884</v>
      </c>
      <c r="B7" s="11">
        <v>42065</v>
      </c>
      <c r="C7" s="12">
        <v>107.18</v>
      </c>
      <c r="D7" s="12"/>
      <c r="E7" s="15" t="s">
        <v>280</v>
      </c>
      <c r="H7" s="16"/>
      <c r="I7" s="16"/>
    </row>
    <row r="8" spans="1:12" x14ac:dyDescent="0.2">
      <c r="A8" s="10">
        <v>15885</v>
      </c>
      <c r="B8" s="11">
        <v>42065</v>
      </c>
      <c r="C8" s="12">
        <v>5.36</v>
      </c>
      <c r="D8" s="12">
        <v>0.41</v>
      </c>
      <c r="E8" s="12"/>
      <c r="F8" s="14"/>
      <c r="G8" s="14"/>
      <c r="H8" s="14"/>
      <c r="I8" s="8"/>
      <c r="J8" s="8"/>
    </row>
    <row r="9" spans="1:12" x14ac:dyDescent="0.2">
      <c r="A9" s="10">
        <v>15886</v>
      </c>
      <c r="B9" s="11">
        <v>42065</v>
      </c>
      <c r="C9" s="12">
        <v>188.79000000000002</v>
      </c>
      <c r="D9" s="12">
        <v>14.39</v>
      </c>
      <c r="E9" s="15" t="s">
        <v>11</v>
      </c>
      <c r="H9" s="16"/>
      <c r="I9" s="16"/>
      <c r="J9" s="8"/>
      <c r="L9" s="25"/>
    </row>
    <row r="10" spans="1:12" x14ac:dyDescent="0.2">
      <c r="A10" s="10">
        <v>15887</v>
      </c>
      <c r="B10" s="11">
        <v>42065</v>
      </c>
      <c r="C10" s="12">
        <v>19.43</v>
      </c>
      <c r="D10" s="12">
        <v>1.48</v>
      </c>
      <c r="E10" s="17"/>
      <c r="H10" s="14"/>
      <c r="I10" s="16"/>
      <c r="J10" s="8"/>
      <c r="L10" s="25"/>
    </row>
    <row r="11" spans="1:12" x14ac:dyDescent="0.2">
      <c r="A11" s="10">
        <v>15888</v>
      </c>
      <c r="B11" s="11">
        <v>42065</v>
      </c>
      <c r="C11" s="12">
        <v>139.63999999999999</v>
      </c>
      <c r="D11" s="12">
        <v>10.64</v>
      </c>
      <c r="E11" s="17"/>
      <c r="H11" s="14"/>
      <c r="I11" s="16"/>
      <c r="J11" s="8"/>
      <c r="L11" s="25"/>
    </row>
    <row r="12" spans="1:12" x14ac:dyDescent="0.2">
      <c r="A12" s="10">
        <v>15889</v>
      </c>
      <c r="B12" s="11">
        <v>42065</v>
      </c>
      <c r="C12" s="12">
        <v>205.94</v>
      </c>
      <c r="D12" s="12">
        <v>30.94</v>
      </c>
      <c r="E12" s="15"/>
      <c r="H12" s="16"/>
      <c r="I12" s="16"/>
      <c r="J12" s="8"/>
      <c r="L12" s="25"/>
    </row>
    <row r="13" spans="1:12" x14ac:dyDescent="0.2">
      <c r="A13" s="10">
        <v>15890</v>
      </c>
      <c r="B13" s="11">
        <v>42065</v>
      </c>
      <c r="C13" s="12">
        <v>31.34</v>
      </c>
      <c r="D13" s="12">
        <v>2.39</v>
      </c>
      <c r="E13" s="15" t="s">
        <v>7</v>
      </c>
      <c r="F13" s="21"/>
      <c r="G13" s="22"/>
      <c r="H13" s="16"/>
      <c r="I13" s="16"/>
      <c r="J13" s="8"/>
      <c r="L13" s="25"/>
    </row>
    <row r="14" spans="1:12" x14ac:dyDescent="0.2">
      <c r="A14" s="10">
        <v>15891</v>
      </c>
      <c r="B14" s="11">
        <v>42065</v>
      </c>
      <c r="C14" s="12">
        <v>10.83</v>
      </c>
      <c r="D14" s="12">
        <v>0.83</v>
      </c>
      <c r="E14" s="17"/>
      <c r="F14" s="33">
        <f>+C6+C7+C9+C13+38.24</f>
        <v>463.95</v>
      </c>
      <c r="G14" s="34">
        <v>457.66</v>
      </c>
      <c r="H14" s="14"/>
      <c r="I14" s="16"/>
      <c r="J14" s="8"/>
      <c r="L14" s="25"/>
    </row>
    <row r="15" spans="1:12" x14ac:dyDescent="0.2">
      <c r="A15" s="10">
        <v>15892</v>
      </c>
      <c r="B15" s="11">
        <v>42066</v>
      </c>
      <c r="C15" s="12">
        <v>27.06</v>
      </c>
      <c r="D15" s="12">
        <v>2.06</v>
      </c>
      <c r="E15" s="17"/>
      <c r="H15" s="14"/>
      <c r="I15" s="16"/>
      <c r="J15" s="8"/>
      <c r="L15" s="25"/>
    </row>
    <row r="16" spans="1:12" x14ac:dyDescent="0.2">
      <c r="A16" s="10">
        <v>15893</v>
      </c>
      <c r="B16" s="11">
        <v>42066</v>
      </c>
      <c r="C16" s="12">
        <v>531.51</v>
      </c>
      <c r="D16" s="12">
        <v>40.51</v>
      </c>
      <c r="E16" s="15"/>
      <c r="F16" s="21"/>
      <c r="G16" s="22"/>
      <c r="H16" s="16"/>
      <c r="I16" s="16"/>
      <c r="J16" s="8"/>
      <c r="L16" s="25"/>
    </row>
    <row r="17" spans="1:12" x14ac:dyDescent="0.2">
      <c r="A17" s="10">
        <v>15894</v>
      </c>
      <c r="B17" s="11">
        <v>42066</v>
      </c>
      <c r="C17" s="12">
        <v>120.05000000000001</v>
      </c>
      <c r="D17" s="12">
        <v>9.15</v>
      </c>
      <c r="E17" s="17"/>
      <c r="F17" s="18"/>
      <c r="G17" s="19"/>
      <c r="H17" s="14"/>
      <c r="I17" s="16"/>
      <c r="J17" s="8"/>
      <c r="L17" s="25"/>
    </row>
    <row r="18" spans="1:12" x14ac:dyDescent="0.2">
      <c r="A18" s="10">
        <v>15895</v>
      </c>
      <c r="B18" s="11">
        <v>42066</v>
      </c>
      <c r="C18" s="12">
        <v>48.660000000000004</v>
      </c>
      <c r="D18" s="12">
        <v>3.71</v>
      </c>
      <c r="E18" s="17"/>
      <c r="H18" s="14"/>
      <c r="I18" s="16"/>
      <c r="J18" s="8"/>
      <c r="L18" s="25"/>
    </row>
    <row r="19" spans="1:12" x14ac:dyDescent="0.2">
      <c r="A19" s="10">
        <v>15896</v>
      </c>
      <c r="B19" s="11">
        <v>42066</v>
      </c>
      <c r="C19" s="12">
        <v>435.17</v>
      </c>
      <c r="D19" s="12">
        <v>33.17</v>
      </c>
      <c r="E19" s="15" t="s">
        <v>11</v>
      </c>
      <c r="F19" s="21"/>
      <c r="G19" s="22"/>
      <c r="H19" s="16"/>
      <c r="I19" s="16"/>
      <c r="J19" s="8"/>
      <c r="L19" s="25"/>
    </row>
    <row r="20" spans="1:12" x14ac:dyDescent="0.2">
      <c r="A20" s="10">
        <v>15897</v>
      </c>
      <c r="B20" s="11">
        <v>42066</v>
      </c>
      <c r="C20" s="12">
        <v>8.66</v>
      </c>
      <c r="D20" s="12">
        <v>0.66</v>
      </c>
      <c r="E20" s="17"/>
      <c r="H20" s="14"/>
      <c r="I20" s="16"/>
      <c r="J20" s="8"/>
      <c r="L20" s="25"/>
    </row>
    <row r="21" spans="1:12" x14ac:dyDescent="0.2">
      <c r="A21" s="10">
        <v>15898</v>
      </c>
      <c r="B21" s="11">
        <v>42066</v>
      </c>
      <c r="C21" s="12">
        <v>84</v>
      </c>
      <c r="D21" s="12"/>
      <c r="E21" s="13" t="s">
        <v>281</v>
      </c>
      <c r="F21" s="12"/>
      <c r="G21" s="12"/>
      <c r="H21" s="12"/>
    </row>
    <row r="22" spans="1:12" x14ac:dyDescent="0.2">
      <c r="A22" s="10">
        <v>15899</v>
      </c>
      <c r="B22" s="11">
        <v>42066</v>
      </c>
      <c r="C22" s="12">
        <v>99</v>
      </c>
      <c r="D22" s="12"/>
      <c r="E22" s="13" t="s">
        <v>281</v>
      </c>
      <c r="H22" s="12"/>
    </row>
    <row r="23" spans="1:12" x14ac:dyDescent="0.2">
      <c r="A23" s="10">
        <v>15900</v>
      </c>
      <c r="B23" s="11">
        <v>42066</v>
      </c>
      <c r="C23" s="12">
        <v>30</v>
      </c>
      <c r="D23" s="12">
        <v>2.29</v>
      </c>
      <c r="E23" s="13" t="s">
        <v>282</v>
      </c>
      <c r="H23" s="12"/>
    </row>
    <row r="24" spans="1:12" x14ac:dyDescent="0.2">
      <c r="A24" s="10">
        <v>15901</v>
      </c>
      <c r="B24" s="11">
        <v>42066</v>
      </c>
      <c r="C24" s="12">
        <v>70.36</v>
      </c>
      <c r="D24" s="12">
        <v>5.36</v>
      </c>
      <c r="E24" s="15" t="s">
        <v>11</v>
      </c>
      <c r="F24" s="21"/>
      <c r="G24" s="22"/>
      <c r="H24" s="10"/>
      <c r="I24" s="10"/>
    </row>
    <row r="25" spans="1:12" x14ac:dyDescent="0.2">
      <c r="A25" s="10">
        <v>15902</v>
      </c>
      <c r="B25" s="11">
        <v>42066</v>
      </c>
      <c r="C25" s="12">
        <v>85.52</v>
      </c>
      <c r="D25" s="12">
        <v>6.52</v>
      </c>
      <c r="E25" s="15" t="s">
        <v>11</v>
      </c>
      <c r="H25" s="10"/>
      <c r="I25" s="10"/>
    </row>
    <row r="26" spans="1:12" x14ac:dyDescent="0.2">
      <c r="A26" s="10">
        <v>15903</v>
      </c>
      <c r="B26" s="11">
        <v>42066</v>
      </c>
      <c r="C26" s="12">
        <v>172.12</v>
      </c>
      <c r="D26" s="12">
        <v>13.12</v>
      </c>
      <c r="E26" s="15" t="s">
        <v>7</v>
      </c>
      <c r="H26" s="10"/>
      <c r="I26" s="10"/>
    </row>
    <row r="27" spans="1:12" x14ac:dyDescent="0.2">
      <c r="A27" s="10">
        <v>15904</v>
      </c>
      <c r="B27" s="11">
        <v>42066</v>
      </c>
      <c r="C27" s="12">
        <v>172.12</v>
      </c>
      <c r="D27" s="12">
        <v>13.12</v>
      </c>
      <c r="E27" s="15" t="s">
        <v>11</v>
      </c>
      <c r="H27" s="10"/>
      <c r="I27" s="10"/>
    </row>
    <row r="28" spans="1:12" x14ac:dyDescent="0.2">
      <c r="A28" s="10">
        <v>15905</v>
      </c>
      <c r="B28" s="11">
        <v>42066</v>
      </c>
      <c r="C28" s="12">
        <v>15.59</v>
      </c>
      <c r="D28" s="12">
        <v>1.19</v>
      </c>
      <c r="E28" s="15" t="s">
        <v>7</v>
      </c>
      <c r="H28" s="10"/>
      <c r="I28" s="10"/>
    </row>
    <row r="29" spans="1:12" x14ac:dyDescent="0.2">
      <c r="A29" s="10">
        <v>15906</v>
      </c>
      <c r="B29" s="11">
        <v>42066</v>
      </c>
      <c r="C29" s="12">
        <v>31.39</v>
      </c>
      <c r="D29" s="12">
        <v>2.39</v>
      </c>
      <c r="E29" s="15" t="s">
        <v>7</v>
      </c>
      <c r="F29" s="33">
        <f>+C19+C25+C24+C27+C28+C29</f>
        <v>810.15000000000009</v>
      </c>
      <c r="G29" s="34">
        <v>795.35</v>
      </c>
      <c r="H29" s="10"/>
      <c r="I29" s="10"/>
    </row>
    <row r="30" spans="1:12" x14ac:dyDescent="0.2">
      <c r="A30" s="10">
        <v>15907</v>
      </c>
      <c r="B30" s="11">
        <v>42067</v>
      </c>
      <c r="C30" s="12">
        <v>42.22</v>
      </c>
      <c r="D30" s="12">
        <v>3.22</v>
      </c>
      <c r="E30" s="15" t="s">
        <v>11</v>
      </c>
      <c r="H30" s="10"/>
      <c r="I30" s="10"/>
    </row>
    <row r="31" spans="1:12" x14ac:dyDescent="0.2">
      <c r="A31" s="10">
        <v>15908</v>
      </c>
      <c r="B31" s="11">
        <v>42067</v>
      </c>
      <c r="C31" s="12">
        <v>17.55</v>
      </c>
      <c r="D31" s="12">
        <v>1.34</v>
      </c>
      <c r="E31" s="17"/>
      <c r="H31" s="12"/>
      <c r="I31" s="10"/>
    </row>
    <row r="32" spans="1:12" x14ac:dyDescent="0.2">
      <c r="A32" s="10">
        <v>15909</v>
      </c>
      <c r="B32" s="11">
        <v>42067</v>
      </c>
      <c r="C32" s="12">
        <v>569.94000000000005</v>
      </c>
      <c r="D32" s="12">
        <v>43.44</v>
      </c>
      <c r="E32" s="15" t="s">
        <v>26</v>
      </c>
      <c r="F32" s="21"/>
      <c r="G32" s="22"/>
      <c r="H32" s="10"/>
      <c r="I32" s="10"/>
    </row>
    <row r="33" spans="1:9" x14ac:dyDescent="0.2">
      <c r="A33" s="10">
        <v>15910</v>
      </c>
      <c r="B33" s="11">
        <v>42067</v>
      </c>
      <c r="C33" s="12">
        <v>0</v>
      </c>
      <c r="D33" s="12">
        <v>0</v>
      </c>
      <c r="E33" s="15"/>
      <c r="H33" s="10"/>
      <c r="I33" s="10"/>
    </row>
    <row r="34" spans="1:9" x14ac:dyDescent="0.2">
      <c r="A34" s="10">
        <v>15911</v>
      </c>
      <c r="B34" s="11">
        <v>42067</v>
      </c>
      <c r="C34" s="12">
        <v>299.85000000000002</v>
      </c>
      <c r="D34" s="12">
        <v>22.85</v>
      </c>
      <c r="E34" s="15" t="s">
        <v>11</v>
      </c>
      <c r="H34" s="10"/>
      <c r="I34" s="10"/>
    </row>
    <row r="35" spans="1:9" x14ac:dyDescent="0.2">
      <c r="A35" s="10">
        <v>15912</v>
      </c>
      <c r="B35" s="11">
        <v>42067</v>
      </c>
      <c r="C35" s="12">
        <v>23</v>
      </c>
      <c r="D35" s="12"/>
      <c r="E35" s="13" t="s">
        <v>19</v>
      </c>
      <c r="F35" s="18"/>
      <c r="G35" s="19"/>
      <c r="H35" s="12"/>
      <c r="I35" s="10"/>
    </row>
    <row r="36" spans="1:9" x14ac:dyDescent="0.2">
      <c r="A36" s="10">
        <v>15913</v>
      </c>
      <c r="B36" s="11">
        <v>42067</v>
      </c>
      <c r="C36" s="12">
        <v>143.53</v>
      </c>
      <c r="D36" s="12"/>
      <c r="E36" s="13" t="s">
        <v>36</v>
      </c>
      <c r="F36" s="18"/>
      <c r="G36" s="19"/>
      <c r="H36" s="12"/>
      <c r="I36" s="10"/>
    </row>
    <row r="37" spans="1:9" x14ac:dyDescent="0.2">
      <c r="A37" s="10">
        <v>15914</v>
      </c>
      <c r="B37" s="11">
        <v>42067</v>
      </c>
      <c r="C37" s="12">
        <v>37.830000000000005</v>
      </c>
      <c r="D37" s="12">
        <v>2.88</v>
      </c>
      <c r="E37" s="17"/>
      <c r="H37" s="12"/>
      <c r="I37" s="10"/>
    </row>
    <row r="38" spans="1:9" x14ac:dyDescent="0.2">
      <c r="A38" s="10">
        <v>15915</v>
      </c>
      <c r="B38" s="11">
        <v>42067</v>
      </c>
      <c r="C38" s="12">
        <v>56.29</v>
      </c>
      <c r="D38" s="12">
        <v>4.29</v>
      </c>
      <c r="E38" s="15" t="s">
        <v>11</v>
      </c>
      <c r="H38" s="10"/>
      <c r="I38" s="10"/>
    </row>
    <row r="39" spans="1:9" x14ac:dyDescent="0.2">
      <c r="A39" s="10">
        <v>15916</v>
      </c>
      <c r="B39" s="11">
        <v>42067</v>
      </c>
      <c r="C39" s="12">
        <v>10</v>
      </c>
      <c r="D39" s="12"/>
      <c r="E39" s="13" t="s">
        <v>8</v>
      </c>
      <c r="H39" s="12"/>
      <c r="I39" s="10"/>
    </row>
    <row r="40" spans="1:9" x14ac:dyDescent="0.2">
      <c r="A40" s="10">
        <v>15917</v>
      </c>
      <c r="B40" s="11">
        <v>42067</v>
      </c>
      <c r="C40" s="12">
        <v>95.26</v>
      </c>
      <c r="D40" s="12">
        <v>7.26</v>
      </c>
      <c r="E40" s="15" t="s">
        <v>11</v>
      </c>
      <c r="F40" s="21"/>
      <c r="G40" s="22"/>
      <c r="H40" s="10"/>
      <c r="I40" s="10"/>
    </row>
    <row r="41" spans="1:9" x14ac:dyDescent="0.2">
      <c r="A41" s="10">
        <v>15918</v>
      </c>
      <c r="B41" s="11">
        <v>42067</v>
      </c>
      <c r="C41" s="12">
        <v>8.4700000000000006</v>
      </c>
      <c r="D41" s="12"/>
      <c r="E41" s="13" t="s">
        <v>36</v>
      </c>
      <c r="F41" s="33">
        <f>+C30+C34+C38+C40</f>
        <v>493.62000000000006</v>
      </c>
      <c r="G41" s="34">
        <v>490.11</v>
      </c>
      <c r="H41" s="12"/>
      <c r="I41" s="10"/>
    </row>
    <row r="42" spans="1:9" x14ac:dyDescent="0.2">
      <c r="A42" s="10">
        <v>15919</v>
      </c>
      <c r="B42" s="11">
        <v>42068</v>
      </c>
      <c r="C42" s="12">
        <v>97.43</v>
      </c>
      <c r="D42" s="12">
        <v>7.43</v>
      </c>
      <c r="E42" s="15" t="s">
        <v>283</v>
      </c>
      <c r="H42" s="10"/>
      <c r="I42" s="10"/>
    </row>
    <row r="43" spans="1:9" x14ac:dyDescent="0.2">
      <c r="A43" s="10">
        <v>15920</v>
      </c>
      <c r="B43" s="11">
        <v>42068</v>
      </c>
      <c r="C43" s="12">
        <v>15</v>
      </c>
      <c r="D43" s="12">
        <v>1.1399999999999999</v>
      </c>
      <c r="E43" s="13" t="s">
        <v>284</v>
      </c>
      <c r="H43" s="12"/>
      <c r="I43" s="10"/>
    </row>
    <row r="44" spans="1:9" x14ac:dyDescent="0.2">
      <c r="A44" s="10">
        <v>15921</v>
      </c>
      <c r="B44" s="11">
        <v>42068</v>
      </c>
      <c r="C44" s="12">
        <v>24.84</v>
      </c>
      <c r="D44" s="12">
        <v>1.89</v>
      </c>
      <c r="E44" s="15" t="s">
        <v>26</v>
      </c>
      <c r="F44" s="21"/>
      <c r="G44" s="22"/>
      <c r="H44" s="10"/>
      <c r="I44" s="10"/>
    </row>
    <row r="45" spans="1:9" x14ac:dyDescent="0.2">
      <c r="A45" s="10">
        <v>15922</v>
      </c>
      <c r="B45" s="11">
        <v>42068</v>
      </c>
      <c r="C45" s="12">
        <v>14.34</v>
      </c>
      <c r="D45" s="12">
        <v>1.0900000000000001</v>
      </c>
      <c r="E45" s="17"/>
      <c r="H45" s="12"/>
      <c r="I45" s="10"/>
    </row>
    <row r="46" spans="1:9" x14ac:dyDescent="0.2">
      <c r="A46" s="10">
        <v>15923</v>
      </c>
      <c r="B46" s="11">
        <v>42068</v>
      </c>
      <c r="C46" s="12">
        <v>237.07</v>
      </c>
      <c r="D46" s="12">
        <v>18.07</v>
      </c>
      <c r="E46" s="17"/>
      <c r="H46" s="12"/>
      <c r="I46" s="10"/>
    </row>
    <row r="47" spans="1:9" x14ac:dyDescent="0.2">
      <c r="A47" s="10">
        <v>15924</v>
      </c>
      <c r="B47" s="11">
        <v>42068</v>
      </c>
      <c r="C47" s="12">
        <v>41.14</v>
      </c>
      <c r="D47" s="12">
        <v>3.14</v>
      </c>
      <c r="E47" s="15" t="s">
        <v>11</v>
      </c>
      <c r="H47" s="10"/>
      <c r="I47" s="10"/>
    </row>
    <row r="48" spans="1:9" x14ac:dyDescent="0.2">
      <c r="A48" s="10">
        <v>15925</v>
      </c>
      <c r="B48" s="11">
        <v>42068</v>
      </c>
      <c r="C48" s="12">
        <v>114.75</v>
      </c>
      <c r="D48" s="12">
        <v>8.75</v>
      </c>
      <c r="E48" s="15" t="s">
        <v>11</v>
      </c>
      <c r="H48" s="10"/>
      <c r="I48" s="10"/>
    </row>
    <row r="49" spans="1:9" x14ac:dyDescent="0.2">
      <c r="A49" s="10">
        <v>15926</v>
      </c>
      <c r="B49" s="11">
        <v>42068</v>
      </c>
      <c r="C49" s="12">
        <v>64.95</v>
      </c>
      <c r="D49" s="12">
        <v>4.95</v>
      </c>
      <c r="E49" s="15" t="s">
        <v>21</v>
      </c>
      <c r="F49" s="21"/>
      <c r="G49" s="22"/>
      <c r="H49" s="10"/>
      <c r="I49" s="10"/>
    </row>
    <row r="50" spans="1:9" x14ac:dyDescent="0.2">
      <c r="A50" s="10">
        <v>15927</v>
      </c>
      <c r="B50" s="11">
        <v>42068</v>
      </c>
      <c r="C50" s="12">
        <v>35.72</v>
      </c>
      <c r="D50" s="12">
        <v>2.72</v>
      </c>
      <c r="E50" s="13"/>
      <c r="F50" s="18"/>
      <c r="G50" s="19"/>
      <c r="H50" s="12"/>
      <c r="I50" s="10"/>
    </row>
    <row r="51" spans="1:9" x14ac:dyDescent="0.2">
      <c r="A51" s="10">
        <v>15928</v>
      </c>
      <c r="B51" s="11">
        <v>42068</v>
      </c>
      <c r="C51" s="12">
        <v>279.38000000000005</v>
      </c>
      <c r="D51" s="12">
        <v>21.29</v>
      </c>
      <c r="E51" s="15" t="s">
        <v>7</v>
      </c>
      <c r="H51" s="10"/>
      <c r="I51" s="10"/>
    </row>
    <row r="52" spans="1:9" x14ac:dyDescent="0.2">
      <c r="A52" s="10">
        <v>15929</v>
      </c>
      <c r="B52" s="11">
        <v>42068</v>
      </c>
      <c r="C52" s="12">
        <v>239.45</v>
      </c>
      <c r="D52" s="12">
        <v>18.25</v>
      </c>
      <c r="E52" s="15"/>
      <c r="H52" s="10"/>
      <c r="I52" s="10"/>
    </row>
    <row r="53" spans="1:9" x14ac:dyDescent="0.2">
      <c r="A53" s="10">
        <v>15930</v>
      </c>
      <c r="B53" s="11">
        <v>42068</v>
      </c>
      <c r="C53" s="12">
        <v>42.22</v>
      </c>
      <c r="D53" s="12">
        <v>3.22</v>
      </c>
      <c r="E53" s="17"/>
      <c r="F53" s="18"/>
      <c r="G53" s="19"/>
      <c r="H53" s="12"/>
      <c r="I53" s="10"/>
    </row>
    <row r="54" spans="1:9" x14ac:dyDescent="0.2">
      <c r="A54" s="10">
        <v>15931</v>
      </c>
      <c r="B54" s="11">
        <v>42068</v>
      </c>
      <c r="C54" s="12">
        <v>145</v>
      </c>
      <c r="D54" s="12"/>
      <c r="E54" s="15" t="s">
        <v>16</v>
      </c>
      <c r="F54" s="33">
        <f>+C47+C48+C51</f>
        <v>435.27000000000004</v>
      </c>
      <c r="G54" s="34">
        <f>+F54*0.97831</f>
        <v>425.82899370000007</v>
      </c>
      <c r="H54" s="10"/>
      <c r="I54" s="10"/>
    </row>
    <row r="55" spans="1:9" x14ac:dyDescent="0.2">
      <c r="A55" s="10">
        <v>15932</v>
      </c>
      <c r="B55" s="11">
        <v>42069</v>
      </c>
      <c r="C55" s="12">
        <v>38.700000000000003</v>
      </c>
      <c r="D55" s="12">
        <v>2.95</v>
      </c>
      <c r="E55" s="15" t="s">
        <v>11</v>
      </c>
      <c r="H55" s="10"/>
      <c r="I55" s="10"/>
    </row>
    <row r="56" spans="1:9" x14ac:dyDescent="0.2">
      <c r="A56" s="10">
        <v>15933</v>
      </c>
      <c r="B56" s="11">
        <v>42069</v>
      </c>
      <c r="C56" s="12">
        <v>33.4</v>
      </c>
      <c r="D56" s="12">
        <v>2.5499999999999998</v>
      </c>
      <c r="E56" s="17"/>
      <c r="H56" s="12"/>
      <c r="I56" s="10"/>
    </row>
    <row r="57" spans="1:9" x14ac:dyDescent="0.2">
      <c r="A57" s="10">
        <v>15934</v>
      </c>
      <c r="B57" s="11">
        <v>42069</v>
      </c>
      <c r="C57" s="12">
        <v>48.660000000000004</v>
      </c>
      <c r="D57" s="12">
        <v>3.71</v>
      </c>
      <c r="E57" s="15" t="s">
        <v>23</v>
      </c>
      <c r="F57" s="21"/>
      <c r="G57" s="22"/>
      <c r="H57" s="10"/>
      <c r="I57" s="10"/>
    </row>
    <row r="58" spans="1:9" x14ac:dyDescent="0.2">
      <c r="A58" s="10">
        <v>15935</v>
      </c>
      <c r="B58" s="11">
        <v>42069</v>
      </c>
      <c r="C58" s="12">
        <v>95.5</v>
      </c>
      <c r="D58" s="12">
        <v>7.28</v>
      </c>
      <c r="E58" s="17"/>
      <c r="F58" s="18"/>
      <c r="G58" s="19"/>
      <c r="H58" s="12"/>
      <c r="I58" s="10"/>
    </row>
    <row r="59" spans="1:9" x14ac:dyDescent="0.2">
      <c r="A59" s="10">
        <v>15936</v>
      </c>
      <c r="B59" s="11">
        <v>42069</v>
      </c>
      <c r="C59" s="12">
        <v>54.07</v>
      </c>
      <c r="D59" s="12">
        <v>4.12</v>
      </c>
      <c r="E59" s="17"/>
      <c r="F59" s="18"/>
      <c r="G59" s="19"/>
      <c r="H59" s="12"/>
      <c r="I59" s="10"/>
    </row>
    <row r="60" spans="1:9" x14ac:dyDescent="0.2">
      <c r="A60" s="10">
        <v>15937</v>
      </c>
      <c r="B60" s="11">
        <v>42069</v>
      </c>
      <c r="C60" s="12">
        <v>0</v>
      </c>
      <c r="D60" s="12"/>
      <c r="E60" s="17"/>
      <c r="H60" s="12"/>
      <c r="I60" s="10"/>
    </row>
    <row r="61" spans="1:9" x14ac:dyDescent="0.2">
      <c r="A61" s="10">
        <v>15938</v>
      </c>
      <c r="B61" s="11">
        <v>42069</v>
      </c>
      <c r="C61" s="12">
        <v>29.069999999999997</v>
      </c>
      <c r="D61" s="12">
        <v>2.2200000000000002</v>
      </c>
      <c r="E61" s="17"/>
      <c r="H61" s="12"/>
      <c r="I61" s="10"/>
    </row>
    <row r="62" spans="1:9" x14ac:dyDescent="0.2">
      <c r="A62" s="10">
        <v>15939</v>
      </c>
      <c r="B62" s="11">
        <v>42069</v>
      </c>
      <c r="C62" s="12">
        <v>185.65</v>
      </c>
      <c r="D62" s="12">
        <v>14.15</v>
      </c>
      <c r="E62" s="15" t="s">
        <v>255</v>
      </c>
      <c r="H62" s="10"/>
      <c r="I62" s="10"/>
    </row>
    <row r="63" spans="1:9" x14ac:dyDescent="0.2">
      <c r="A63" s="10">
        <v>15940</v>
      </c>
      <c r="B63" s="11">
        <v>42069</v>
      </c>
      <c r="C63" s="12">
        <v>50</v>
      </c>
      <c r="D63" s="12"/>
      <c r="E63" s="13" t="s">
        <v>71</v>
      </c>
      <c r="H63" s="12"/>
      <c r="I63" s="10"/>
    </row>
    <row r="64" spans="1:9" x14ac:dyDescent="0.2">
      <c r="A64" s="10">
        <v>15941</v>
      </c>
      <c r="B64" s="11">
        <v>42069</v>
      </c>
      <c r="C64" s="12">
        <v>8</v>
      </c>
      <c r="D64" s="12">
        <v>0.61</v>
      </c>
      <c r="E64" s="17"/>
      <c r="H64" s="12"/>
      <c r="I64" s="10"/>
    </row>
    <row r="65" spans="1:9" x14ac:dyDescent="0.2">
      <c r="A65" s="10">
        <v>15942</v>
      </c>
      <c r="B65" s="11">
        <v>42069</v>
      </c>
      <c r="C65" s="12">
        <v>97.37</v>
      </c>
      <c r="D65" s="12">
        <v>7.42</v>
      </c>
      <c r="E65" s="15" t="s">
        <v>11</v>
      </c>
      <c r="F65" s="21"/>
      <c r="G65" s="22"/>
      <c r="H65" s="10"/>
      <c r="I65" s="10"/>
    </row>
    <row r="66" spans="1:9" x14ac:dyDescent="0.2">
      <c r="A66" s="10">
        <v>15943</v>
      </c>
      <c r="B66" s="11">
        <v>42069</v>
      </c>
      <c r="C66" s="12">
        <v>48</v>
      </c>
      <c r="D66" s="12"/>
      <c r="E66" s="13" t="s">
        <v>69</v>
      </c>
      <c r="H66" s="12"/>
      <c r="I66" s="10"/>
    </row>
    <row r="67" spans="1:9" x14ac:dyDescent="0.2">
      <c r="A67" s="10">
        <v>15944</v>
      </c>
      <c r="B67" s="11">
        <v>42069</v>
      </c>
      <c r="C67" s="12">
        <v>135.31</v>
      </c>
      <c r="D67" s="12">
        <v>10.31</v>
      </c>
      <c r="E67" s="15" t="s">
        <v>11</v>
      </c>
      <c r="H67" s="10"/>
      <c r="I67" s="10"/>
    </row>
    <row r="68" spans="1:9" x14ac:dyDescent="0.2">
      <c r="A68" s="10">
        <v>15945</v>
      </c>
      <c r="B68" s="11">
        <v>42069</v>
      </c>
      <c r="C68" s="12">
        <v>5</v>
      </c>
      <c r="D68" s="12">
        <v>0.38</v>
      </c>
      <c r="E68" s="17"/>
      <c r="F68" s="18"/>
      <c r="G68" s="19"/>
      <c r="H68" s="12"/>
      <c r="I68" s="10"/>
    </row>
    <row r="69" spans="1:9" x14ac:dyDescent="0.2">
      <c r="A69" s="10">
        <v>15946</v>
      </c>
      <c r="B69" s="11">
        <v>42069</v>
      </c>
      <c r="C69" s="12">
        <v>460.06</v>
      </c>
      <c r="D69" s="12">
        <v>35.06</v>
      </c>
      <c r="E69" s="15" t="s">
        <v>285</v>
      </c>
      <c r="F69" s="33">
        <f>+C55+23.3+C57+200+C65+C67+300+G54+9.44</f>
        <v>1278.6089937000002</v>
      </c>
      <c r="G69" s="34">
        <v>1261.24</v>
      </c>
      <c r="H69" s="10"/>
      <c r="I69" s="10"/>
    </row>
    <row r="70" spans="1:9" x14ac:dyDescent="0.2">
      <c r="A70" s="10">
        <v>15947</v>
      </c>
      <c r="B70" s="11">
        <v>42070</v>
      </c>
      <c r="C70" s="12">
        <v>4.87</v>
      </c>
      <c r="D70" s="12">
        <v>0.37</v>
      </c>
      <c r="E70" s="17"/>
      <c r="H70" s="12"/>
      <c r="I70" s="10"/>
    </row>
    <row r="71" spans="1:9" x14ac:dyDescent="0.2">
      <c r="A71" s="10">
        <v>15948</v>
      </c>
      <c r="B71" s="11">
        <v>42070</v>
      </c>
      <c r="C71" s="12">
        <v>12.969999999999999</v>
      </c>
      <c r="D71" s="12">
        <v>0.99</v>
      </c>
      <c r="E71" s="17"/>
      <c r="H71" s="12"/>
      <c r="I71" s="10"/>
    </row>
    <row r="72" spans="1:9" x14ac:dyDescent="0.2">
      <c r="A72" s="10">
        <v>15949</v>
      </c>
      <c r="B72" s="11">
        <v>42070</v>
      </c>
      <c r="C72" s="12">
        <v>16.5</v>
      </c>
      <c r="D72" s="12"/>
      <c r="E72" s="15" t="s">
        <v>8</v>
      </c>
      <c r="H72" s="10"/>
      <c r="I72" s="10"/>
    </row>
    <row r="73" spans="1:9" x14ac:dyDescent="0.2">
      <c r="A73" s="10">
        <v>15950</v>
      </c>
      <c r="B73" s="11">
        <v>42070</v>
      </c>
      <c r="C73" s="12">
        <v>260.22999999999996</v>
      </c>
      <c r="D73" s="12">
        <v>19.829999999999998</v>
      </c>
      <c r="E73" s="13" t="s">
        <v>286</v>
      </c>
      <c r="F73" s="33">
        <v>-200</v>
      </c>
      <c r="G73" s="34">
        <v>-200</v>
      </c>
      <c r="H73" s="12"/>
      <c r="I73" s="10"/>
    </row>
    <row r="74" spans="1:9" x14ac:dyDescent="0.2">
      <c r="A74" s="10">
        <v>15951</v>
      </c>
      <c r="B74" s="11">
        <v>42072</v>
      </c>
      <c r="C74" s="12">
        <v>191.06</v>
      </c>
      <c r="D74" s="12">
        <v>14.56</v>
      </c>
      <c r="E74" s="15" t="s">
        <v>11</v>
      </c>
      <c r="F74" s="21"/>
      <c r="G74" s="22"/>
      <c r="H74" s="10"/>
      <c r="I74" s="10"/>
    </row>
    <row r="75" spans="1:9" x14ac:dyDescent="0.2">
      <c r="A75" s="10">
        <v>15952</v>
      </c>
      <c r="B75" s="11">
        <v>42072</v>
      </c>
      <c r="C75" s="12">
        <v>45.47</v>
      </c>
      <c r="D75" s="12">
        <v>3.47</v>
      </c>
      <c r="E75" s="17"/>
      <c r="H75" s="12"/>
      <c r="I75" s="10"/>
    </row>
    <row r="76" spans="1:9" x14ac:dyDescent="0.2">
      <c r="A76" s="10">
        <v>15953</v>
      </c>
      <c r="B76" s="11">
        <v>42072</v>
      </c>
      <c r="C76" s="12">
        <v>35.67</v>
      </c>
      <c r="D76" s="12">
        <v>2.72</v>
      </c>
      <c r="E76" s="15" t="s">
        <v>11</v>
      </c>
      <c r="H76" s="10"/>
      <c r="I76" s="10"/>
    </row>
    <row r="77" spans="1:9" x14ac:dyDescent="0.2">
      <c r="A77" s="10">
        <v>15954</v>
      </c>
      <c r="B77" s="11">
        <v>42072</v>
      </c>
      <c r="C77" s="12">
        <v>19.38</v>
      </c>
      <c r="D77" s="12">
        <v>1.48</v>
      </c>
      <c r="E77" s="15" t="s">
        <v>11</v>
      </c>
      <c r="H77" s="10"/>
      <c r="I77" s="10"/>
    </row>
    <row r="78" spans="1:9" x14ac:dyDescent="0.2">
      <c r="A78" s="10">
        <v>15955</v>
      </c>
      <c r="B78" s="11">
        <v>42072</v>
      </c>
      <c r="C78" s="12">
        <v>21.599999999999998</v>
      </c>
      <c r="D78" s="12">
        <v>1.65</v>
      </c>
      <c r="E78" s="15" t="s">
        <v>11</v>
      </c>
      <c r="H78" s="10"/>
      <c r="I78" s="10"/>
    </row>
    <row r="79" spans="1:9" x14ac:dyDescent="0.2">
      <c r="A79" s="10">
        <v>15956</v>
      </c>
      <c r="B79" s="11">
        <v>42072</v>
      </c>
      <c r="C79" s="12">
        <v>111.44</v>
      </c>
      <c r="D79" s="12">
        <v>8.49</v>
      </c>
      <c r="E79" s="15"/>
      <c r="H79" s="10"/>
      <c r="I79" s="10"/>
    </row>
    <row r="80" spans="1:9" x14ac:dyDescent="0.2">
      <c r="A80" s="10">
        <v>15957</v>
      </c>
      <c r="B80" s="11">
        <v>42072</v>
      </c>
      <c r="C80" s="12">
        <v>11</v>
      </c>
      <c r="D80" s="12">
        <v>0.84</v>
      </c>
      <c r="E80" s="17"/>
      <c r="H80" s="12"/>
      <c r="I80" s="10"/>
    </row>
    <row r="81" spans="1:9" x14ac:dyDescent="0.2">
      <c r="A81" s="10">
        <v>15958</v>
      </c>
      <c r="B81" s="11">
        <v>42072</v>
      </c>
      <c r="C81" s="12">
        <v>154.80000000000001</v>
      </c>
      <c r="D81" s="12">
        <v>11.8</v>
      </c>
      <c r="E81" s="15" t="s">
        <v>11</v>
      </c>
      <c r="H81" s="10"/>
      <c r="I81" s="10"/>
    </row>
    <row r="82" spans="1:9" x14ac:dyDescent="0.2">
      <c r="A82" s="10">
        <v>15959</v>
      </c>
      <c r="B82" s="11">
        <v>42072</v>
      </c>
      <c r="C82" s="12">
        <v>244.65</v>
      </c>
      <c r="D82" s="12">
        <v>18.649999999999999</v>
      </c>
      <c r="E82" s="15" t="s">
        <v>11</v>
      </c>
      <c r="H82" s="10"/>
      <c r="I82" s="10"/>
    </row>
    <row r="83" spans="1:9" x14ac:dyDescent="0.2">
      <c r="A83" s="10">
        <v>15960</v>
      </c>
      <c r="B83" s="11">
        <v>42072</v>
      </c>
      <c r="C83" s="12">
        <v>60.62</v>
      </c>
      <c r="D83" s="12">
        <v>4.62</v>
      </c>
      <c r="E83" s="15" t="s">
        <v>11</v>
      </c>
      <c r="F83" s="33">
        <f>+C76+C77+C78+191.06+9.04+C81+C82+C83</f>
        <v>736.82</v>
      </c>
      <c r="G83" s="34">
        <v>729.3</v>
      </c>
      <c r="H83" s="10"/>
      <c r="I83" s="10"/>
    </row>
    <row r="84" spans="1:9" x14ac:dyDescent="0.2">
      <c r="A84" s="10">
        <v>15961</v>
      </c>
      <c r="B84" s="11">
        <v>42073</v>
      </c>
      <c r="C84" s="12">
        <v>41.14</v>
      </c>
      <c r="D84" s="12">
        <v>3.14</v>
      </c>
      <c r="E84" s="15" t="s">
        <v>11</v>
      </c>
      <c r="H84" s="10"/>
      <c r="I84" s="10"/>
    </row>
    <row r="85" spans="1:9" x14ac:dyDescent="0.2">
      <c r="A85" s="10">
        <v>15962</v>
      </c>
      <c r="B85" s="11">
        <v>42073</v>
      </c>
      <c r="C85" s="12">
        <v>51.96</v>
      </c>
      <c r="D85" s="12">
        <v>3.96</v>
      </c>
      <c r="E85" s="15" t="s">
        <v>11</v>
      </c>
      <c r="H85" s="10"/>
      <c r="I85" s="10"/>
    </row>
    <row r="86" spans="1:9" x14ac:dyDescent="0.2">
      <c r="A86" s="10">
        <v>15963</v>
      </c>
      <c r="B86" s="11">
        <v>42073</v>
      </c>
      <c r="C86" s="12">
        <v>35.72</v>
      </c>
      <c r="D86" s="12">
        <v>2.72</v>
      </c>
      <c r="E86" s="17"/>
      <c r="H86" s="12"/>
      <c r="I86" s="10"/>
    </row>
    <row r="87" spans="1:9" x14ac:dyDescent="0.2">
      <c r="A87" s="10">
        <v>15964</v>
      </c>
      <c r="B87" s="11">
        <v>42073</v>
      </c>
      <c r="C87" s="12">
        <v>58.46</v>
      </c>
      <c r="D87" s="12">
        <v>4.46</v>
      </c>
      <c r="E87" s="17"/>
      <c r="H87" s="12"/>
      <c r="I87" s="10"/>
    </row>
    <row r="88" spans="1:9" x14ac:dyDescent="0.2">
      <c r="A88" s="10">
        <v>15965</v>
      </c>
      <c r="B88" s="11">
        <v>42073</v>
      </c>
      <c r="C88" s="12">
        <v>70.36</v>
      </c>
      <c r="D88" s="12">
        <v>5.36</v>
      </c>
      <c r="E88" s="17"/>
      <c r="H88" s="12"/>
      <c r="I88" s="10"/>
    </row>
    <row r="89" spans="1:9" x14ac:dyDescent="0.2">
      <c r="A89" s="10">
        <v>15966</v>
      </c>
      <c r="B89" s="11">
        <v>42073</v>
      </c>
      <c r="C89" s="12">
        <v>21.92</v>
      </c>
      <c r="D89" s="12">
        <v>1.67</v>
      </c>
      <c r="E89" s="15" t="s">
        <v>11</v>
      </c>
      <c r="F89" s="21"/>
      <c r="G89" s="22"/>
      <c r="H89" s="10"/>
      <c r="I89" s="10"/>
    </row>
    <row r="90" spans="1:9" x14ac:dyDescent="0.2">
      <c r="A90" s="10">
        <v>15967</v>
      </c>
      <c r="B90" s="11">
        <v>42073</v>
      </c>
      <c r="C90" s="12">
        <v>240.32</v>
      </c>
      <c r="D90" s="12">
        <v>18.32</v>
      </c>
      <c r="E90" s="13" t="s">
        <v>287</v>
      </c>
      <c r="H90" s="12"/>
      <c r="I90" s="10"/>
    </row>
    <row r="91" spans="1:9" x14ac:dyDescent="0.2">
      <c r="A91" s="10">
        <v>15968</v>
      </c>
      <c r="B91" s="11">
        <v>42073</v>
      </c>
      <c r="C91" s="12">
        <v>96.34</v>
      </c>
      <c r="D91" s="12">
        <v>7.34</v>
      </c>
      <c r="E91" s="17"/>
      <c r="F91" s="18"/>
      <c r="G91" s="19"/>
      <c r="H91" s="12"/>
      <c r="I91" s="10"/>
    </row>
    <row r="92" spans="1:9" x14ac:dyDescent="0.2">
      <c r="A92" s="10">
        <v>15969</v>
      </c>
      <c r="B92" s="11">
        <v>42073</v>
      </c>
      <c r="C92" s="12">
        <v>4.01</v>
      </c>
      <c r="D92" s="12">
        <v>0.31</v>
      </c>
      <c r="E92" s="17"/>
      <c r="H92" s="12"/>
      <c r="I92" s="10"/>
    </row>
    <row r="93" spans="1:9" x14ac:dyDescent="0.2">
      <c r="A93" s="10">
        <v>15970</v>
      </c>
      <c r="B93" s="11">
        <v>42073</v>
      </c>
      <c r="C93" s="12">
        <v>160</v>
      </c>
      <c r="D93" s="12"/>
      <c r="E93" s="15" t="s">
        <v>8</v>
      </c>
      <c r="F93" s="18"/>
      <c r="G93" s="19"/>
      <c r="H93" s="10"/>
      <c r="I93" s="10"/>
    </row>
    <row r="94" spans="1:9" x14ac:dyDescent="0.2">
      <c r="A94" s="10">
        <v>15971</v>
      </c>
      <c r="B94" s="11">
        <v>42073</v>
      </c>
      <c r="C94" s="12">
        <v>38.1</v>
      </c>
      <c r="D94" s="12">
        <v>2.9</v>
      </c>
      <c r="E94" s="15" t="s">
        <v>288</v>
      </c>
      <c r="H94" s="10"/>
      <c r="I94" s="10"/>
    </row>
    <row r="95" spans="1:9" x14ac:dyDescent="0.2">
      <c r="A95" s="10">
        <v>15972</v>
      </c>
      <c r="B95" s="11">
        <v>42073</v>
      </c>
      <c r="C95" s="12">
        <v>318.26</v>
      </c>
      <c r="D95" s="12">
        <v>24.26</v>
      </c>
      <c r="E95" s="15" t="s">
        <v>11</v>
      </c>
      <c r="F95" s="21"/>
      <c r="G95" s="22"/>
      <c r="H95" s="10"/>
      <c r="I95" s="10"/>
    </row>
    <row r="96" spans="1:9" x14ac:dyDescent="0.2">
      <c r="A96" s="10">
        <v>15973</v>
      </c>
      <c r="B96" s="11">
        <v>42073</v>
      </c>
      <c r="C96" s="12">
        <v>27.06</v>
      </c>
      <c r="D96" s="12">
        <v>2.06</v>
      </c>
      <c r="E96" s="17"/>
      <c r="H96" s="12"/>
      <c r="I96" s="10"/>
    </row>
    <row r="97" spans="1:9" x14ac:dyDescent="0.2">
      <c r="A97" s="10">
        <v>15974</v>
      </c>
      <c r="B97" s="11">
        <v>42073</v>
      </c>
      <c r="C97" s="12">
        <v>38.97</v>
      </c>
      <c r="D97" s="12">
        <v>2.97</v>
      </c>
      <c r="E97" s="15" t="s">
        <v>11</v>
      </c>
      <c r="F97" s="33">
        <f>+C84+C85+C89+C95+C97</f>
        <v>472.25</v>
      </c>
      <c r="G97" s="34">
        <v>468.81</v>
      </c>
      <c r="H97" s="10"/>
      <c r="I97" s="10"/>
    </row>
    <row r="98" spans="1:9" x14ac:dyDescent="0.2">
      <c r="A98" s="10">
        <v>15975</v>
      </c>
      <c r="B98" s="11">
        <v>42074</v>
      </c>
      <c r="C98" s="12">
        <v>93.79</v>
      </c>
      <c r="D98" s="12"/>
      <c r="E98" s="23" t="s">
        <v>16</v>
      </c>
      <c r="H98" s="10"/>
      <c r="I98" s="10"/>
    </row>
    <row r="99" spans="1:9" x14ac:dyDescent="0.2">
      <c r="A99" s="10">
        <v>15976</v>
      </c>
      <c r="B99" s="11">
        <v>42074</v>
      </c>
      <c r="C99" s="12">
        <v>269.54000000000002</v>
      </c>
      <c r="D99" s="12">
        <v>20.54</v>
      </c>
      <c r="E99" s="15" t="s">
        <v>11</v>
      </c>
      <c r="H99" s="10"/>
      <c r="I99" s="10"/>
    </row>
    <row r="100" spans="1:9" x14ac:dyDescent="0.2">
      <c r="A100" s="10">
        <v>15977</v>
      </c>
      <c r="B100" s="11">
        <v>42074</v>
      </c>
      <c r="C100" s="12">
        <v>349.36</v>
      </c>
      <c r="D100" s="12">
        <v>57.11</v>
      </c>
      <c r="E100" s="15" t="s">
        <v>289</v>
      </c>
      <c r="H100" s="10"/>
      <c r="I100" s="10"/>
    </row>
    <row r="101" spans="1:9" x14ac:dyDescent="0.2">
      <c r="A101" s="10">
        <v>15978</v>
      </c>
      <c r="B101" s="11">
        <v>42074</v>
      </c>
      <c r="C101" s="12">
        <v>86.6</v>
      </c>
      <c r="D101" s="12">
        <v>6.6</v>
      </c>
      <c r="E101" s="15" t="s">
        <v>290</v>
      </c>
      <c r="H101" s="10"/>
      <c r="I101" s="10"/>
    </row>
    <row r="102" spans="1:9" x14ac:dyDescent="0.2">
      <c r="A102" s="10">
        <v>15979</v>
      </c>
      <c r="B102" s="11">
        <v>42074</v>
      </c>
      <c r="C102" s="12">
        <v>102.84</v>
      </c>
      <c r="D102" s="12">
        <v>7.84</v>
      </c>
      <c r="E102" s="15" t="s">
        <v>11</v>
      </c>
      <c r="H102" s="10"/>
      <c r="I102" s="10"/>
    </row>
    <row r="103" spans="1:9" x14ac:dyDescent="0.2">
      <c r="A103" s="10">
        <v>15980</v>
      </c>
      <c r="B103" s="11">
        <v>42074</v>
      </c>
      <c r="C103" s="12">
        <v>1.1000000000000001</v>
      </c>
      <c r="D103" s="12">
        <v>0.08</v>
      </c>
      <c r="E103" s="17"/>
      <c r="F103" s="18"/>
      <c r="G103" s="19"/>
      <c r="H103" s="12"/>
      <c r="I103" s="10"/>
    </row>
    <row r="104" spans="1:9" x14ac:dyDescent="0.2">
      <c r="A104" s="10">
        <v>15981</v>
      </c>
      <c r="B104" s="11">
        <v>42074</v>
      </c>
      <c r="C104" s="12">
        <v>404.86</v>
      </c>
      <c r="D104" s="12">
        <v>30.86</v>
      </c>
      <c r="E104" s="15" t="s">
        <v>11</v>
      </c>
      <c r="F104" s="21"/>
      <c r="G104" s="22"/>
      <c r="H104" s="10"/>
      <c r="I104" s="10"/>
    </row>
    <row r="105" spans="1:9" x14ac:dyDescent="0.2">
      <c r="A105" s="10">
        <v>15982</v>
      </c>
      <c r="B105" s="11">
        <v>42074</v>
      </c>
      <c r="C105" s="12">
        <v>147.76</v>
      </c>
      <c r="D105" s="12">
        <v>11.26</v>
      </c>
      <c r="E105" s="15" t="s">
        <v>11</v>
      </c>
      <c r="H105" s="10"/>
      <c r="I105" s="10"/>
    </row>
    <row r="106" spans="1:9" x14ac:dyDescent="0.2">
      <c r="A106" s="10">
        <v>15983</v>
      </c>
      <c r="B106" s="11">
        <v>42074</v>
      </c>
      <c r="C106" s="12"/>
      <c r="D106" s="12"/>
      <c r="E106" s="15" t="s">
        <v>291</v>
      </c>
      <c r="H106" s="10"/>
      <c r="I106" s="10"/>
    </row>
    <row r="107" spans="1:9" x14ac:dyDescent="0.2">
      <c r="A107" s="10">
        <v>15984</v>
      </c>
      <c r="B107" s="11">
        <v>42074</v>
      </c>
      <c r="C107" s="12">
        <v>84.330000000000013</v>
      </c>
      <c r="D107" s="12">
        <v>6.43</v>
      </c>
      <c r="E107" s="17"/>
      <c r="H107" s="12"/>
      <c r="I107" s="10"/>
    </row>
    <row r="108" spans="1:9" x14ac:dyDescent="0.2">
      <c r="A108" s="10">
        <v>15985</v>
      </c>
      <c r="B108" s="11">
        <v>42074</v>
      </c>
      <c r="C108" s="12">
        <v>143.97</v>
      </c>
      <c r="D108" s="12">
        <v>10.97</v>
      </c>
      <c r="E108" s="17"/>
      <c r="H108" s="12"/>
      <c r="I108" s="10"/>
    </row>
    <row r="109" spans="1:9" x14ac:dyDescent="0.2">
      <c r="A109" s="10">
        <v>15986</v>
      </c>
      <c r="B109" s="11">
        <v>42074</v>
      </c>
      <c r="C109" s="12">
        <v>44.38</v>
      </c>
      <c r="D109" s="12">
        <v>3.38</v>
      </c>
      <c r="E109" s="15" t="s">
        <v>11</v>
      </c>
      <c r="H109" s="10"/>
      <c r="I109" s="10"/>
    </row>
    <row r="110" spans="1:9" x14ac:dyDescent="0.2">
      <c r="A110" s="10">
        <v>15987</v>
      </c>
      <c r="B110" s="11">
        <v>42074</v>
      </c>
      <c r="C110" s="12">
        <v>20.5</v>
      </c>
      <c r="D110" s="12"/>
      <c r="E110" s="15" t="s">
        <v>25</v>
      </c>
      <c r="H110" s="10"/>
      <c r="I110" s="10"/>
    </row>
    <row r="111" spans="1:9" x14ac:dyDescent="0.2">
      <c r="A111" s="10">
        <v>15988</v>
      </c>
      <c r="B111" s="11">
        <v>42074</v>
      </c>
      <c r="C111" s="12">
        <v>11.590000000000002</v>
      </c>
      <c r="D111" s="12">
        <v>0.88</v>
      </c>
      <c r="E111" s="17"/>
      <c r="F111" s="33">
        <f>+C99+C102+C104+C105+C109</f>
        <v>969.38</v>
      </c>
      <c r="G111" s="34">
        <v>957.97</v>
      </c>
      <c r="H111" s="12"/>
      <c r="I111" s="10"/>
    </row>
    <row r="112" spans="1:9" x14ac:dyDescent="0.2">
      <c r="A112" s="10">
        <v>15989</v>
      </c>
      <c r="B112" s="11">
        <v>42075</v>
      </c>
      <c r="C112" s="12">
        <v>24.84</v>
      </c>
      <c r="D112" s="12">
        <v>1.89</v>
      </c>
      <c r="E112" s="17"/>
      <c r="H112" s="12"/>
      <c r="I112" s="10"/>
    </row>
    <row r="113" spans="1:9" x14ac:dyDescent="0.2">
      <c r="A113" s="10">
        <v>15990</v>
      </c>
      <c r="B113" s="11">
        <v>42075</v>
      </c>
      <c r="C113" s="12">
        <v>169.89999999999998</v>
      </c>
      <c r="D113" s="12">
        <v>12.95</v>
      </c>
      <c r="E113" s="23"/>
      <c r="F113" s="21"/>
      <c r="G113" s="22"/>
      <c r="H113" s="10"/>
      <c r="I113" s="10"/>
    </row>
    <row r="114" spans="1:9" x14ac:dyDescent="0.2">
      <c r="A114" s="10">
        <v>15991</v>
      </c>
      <c r="B114" s="11">
        <v>42075</v>
      </c>
      <c r="C114" s="12">
        <v>279.99999999999994</v>
      </c>
      <c r="D114" s="12">
        <v>21.34</v>
      </c>
      <c r="E114" s="17"/>
      <c r="F114" s="18"/>
      <c r="G114" s="19"/>
      <c r="H114" s="12"/>
      <c r="I114" s="10"/>
    </row>
    <row r="115" spans="1:9" x14ac:dyDescent="0.2">
      <c r="A115" s="10">
        <v>15992</v>
      </c>
      <c r="B115" s="11">
        <v>42075</v>
      </c>
      <c r="C115" s="12">
        <v>53.970000000000006</v>
      </c>
      <c r="D115" s="12">
        <v>4.1100000000000003</v>
      </c>
      <c r="E115" s="17"/>
      <c r="H115" s="12"/>
      <c r="I115" s="10"/>
    </row>
    <row r="116" spans="1:9" x14ac:dyDescent="0.2">
      <c r="A116" s="10">
        <v>15993</v>
      </c>
      <c r="B116" s="11">
        <v>42075</v>
      </c>
      <c r="C116" s="12">
        <v>297</v>
      </c>
      <c r="D116" s="12"/>
      <c r="E116" s="13" t="s">
        <v>8</v>
      </c>
      <c r="H116" s="12"/>
      <c r="I116" s="10"/>
    </row>
    <row r="117" spans="1:9" x14ac:dyDescent="0.2">
      <c r="A117" s="10">
        <v>15994</v>
      </c>
      <c r="B117" s="11">
        <v>42075</v>
      </c>
      <c r="C117" s="12">
        <v>30</v>
      </c>
      <c r="D117" s="12"/>
      <c r="E117" s="13" t="s">
        <v>77</v>
      </c>
      <c r="H117" s="12"/>
      <c r="I117" s="10"/>
    </row>
    <row r="118" spans="1:9" x14ac:dyDescent="0.2">
      <c r="A118" s="10">
        <v>15995</v>
      </c>
      <c r="B118" s="11">
        <v>42075</v>
      </c>
      <c r="C118" s="12">
        <v>84.44</v>
      </c>
      <c r="D118" s="12">
        <v>6.44</v>
      </c>
      <c r="E118" s="15" t="s">
        <v>11</v>
      </c>
      <c r="H118" s="10"/>
      <c r="I118" s="10"/>
    </row>
    <row r="119" spans="1:9" x14ac:dyDescent="0.2">
      <c r="A119" s="10">
        <v>15996</v>
      </c>
      <c r="B119" s="11">
        <v>42075</v>
      </c>
      <c r="C119" s="12">
        <v>184.03</v>
      </c>
      <c r="D119" s="12">
        <v>14.03</v>
      </c>
      <c r="E119" s="15" t="s">
        <v>11</v>
      </c>
      <c r="F119" s="21"/>
      <c r="G119" s="22"/>
      <c r="H119" s="10"/>
      <c r="I119" s="10"/>
    </row>
    <row r="120" spans="1:9" x14ac:dyDescent="0.2">
      <c r="A120" s="10">
        <v>15997</v>
      </c>
      <c r="B120" s="11">
        <v>42075</v>
      </c>
      <c r="C120" s="12">
        <v>10</v>
      </c>
      <c r="D120" s="12">
        <v>0.76</v>
      </c>
      <c r="E120" s="13"/>
      <c r="F120" s="18"/>
      <c r="G120" s="19"/>
      <c r="H120" s="12"/>
      <c r="I120" s="10"/>
    </row>
    <row r="121" spans="1:9" x14ac:dyDescent="0.2">
      <c r="A121" s="10">
        <v>15998</v>
      </c>
      <c r="B121" s="11">
        <v>42075</v>
      </c>
      <c r="C121" s="12">
        <v>5</v>
      </c>
      <c r="D121" s="12">
        <v>0.38</v>
      </c>
      <c r="E121" s="15" t="s">
        <v>11</v>
      </c>
      <c r="F121" s="33">
        <f>396+C93+C54+C118+C119+C121+220.83</f>
        <v>1195.3</v>
      </c>
      <c r="G121" s="34">
        <v>1171.4100000000001</v>
      </c>
      <c r="H121" s="10"/>
      <c r="I121" s="10"/>
    </row>
    <row r="122" spans="1:9" x14ac:dyDescent="0.2">
      <c r="A122" s="10">
        <v>15999</v>
      </c>
      <c r="B122" s="11">
        <v>42076</v>
      </c>
      <c r="C122" s="12">
        <v>48.71</v>
      </c>
      <c r="D122" s="12">
        <v>3.71</v>
      </c>
      <c r="E122" s="15" t="s">
        <v>7</v>
      </c>
      <c r="H122" s="10"/>
      <c r="I122" s="10"/>
    </row>
    <row r="123" spans="1:9" x14ac:dyDescent="0.2">
      <c r="A123" s="10">
        <v>16000</v>
      </c>
      <c r="B123" s="11">
        <v>42076</v>
      </c>
      <c r="C123" s="12">
        <v>42.22</v>
      </c>
      <c r="D123" s="12">
        <v>3.22</v>
      </c>
      <c r="E123" s="15" t="s">
        <v>7</v>
      </c>
      <c r="H123" s="10"/>
      <c r="I123" s="10"/>
    </row>
    <row r="124" spans="1:9" x14ac:dyDescent="0.2">
      <c r="A124" s="10">
        <v>16001</v>
      </c>
      <c r="B124" s="11">
        <v>42076</v>
      </c>
      <c r="C124" s="12">
        <v>133</v>
      </c>
      <c r="D124" s="12">
        <v>10.14</v>
      </c>
      <c r="E124" s="17"/>
      <c r="H124" s="12"/>
      <c r="I124" s="10"/>
    </row>
    <row r="125" spans="1:9" x14ac:dyDescent="0.2">
      <c r="A125" s="10">
        <v>16002</v>
      </c>
      <c r="B125" s="11">
        <v>42076</v>
      </c>
      <c r="C125" s="12">
        <v>11.85</v>
      </c>
      <c r="D125" s="12">
        <v>0.9</v>
      </c>
      <c r="E125" s="15" t="s">
        <v>7</v>
      </c>
      <c r="F125" s="21"/>
      <c r="G125" s="22"/>
      <c r="H125" s="10"/>
      <c r="I125" s="10"/>
    </row>
    <row r="126" spans="1:9" x14ac:dyDescent="0.2">
      <c r="A126" s="10">
        <v>16003</v>
      </c>
      <c r="B126" s="11">
        <v>42076</v>
      </c>
      <c r="C126" s="12">
        <v>250.6</v>
      </c>
      <c r="D126" s="12">
        <v>19.100000000000001</v>
      </c>
      <c r="E126" s="15" t="s">
        <v>11</v>
      </c>
      <c r="H126" s="10"/>
      <c r="I126" s="10"/>
    </row>
    <row r="127" spans="1:9" x14ac:dyDescent="0.2">
      <c r="A127" s="10">
        <v>16004</v>
      </c>
      <c r="B127" s="11">
        <v>42076</v>
      </c>
      <c r="C127" s="12">
        <v>129.9</v>
      </c>
      <c r="D127" s="12">
        <v>9.9</v>
      </c>
      <c r="E127" s="15" t="s">
        <v>292</v>
      </c>
      <c r="F127" s="21"/>
      <c r="G127" s="22"/>
      <c r="H127" s="10"/>
      <c r="I127" s="10"/>
    </row>
    <row r="128" spans="1:9" x14ac:dyDescent="0.2">
      <c r="A128" s="10">
        <v>16005</v>
      </c>
      <c r="B128" s="11">
        <v>42076</v>
      </c>
      <c r="C128" s="12">
        <v>21.599999999999998</v>
      </c>
      <c r="D128" s="12">
        <v>1.65</v>
      </c>
      <c r="E128" s="15" t="s">
        <v>11</v>
      </c>
      <c r="H128" s="10"/>
      <c r="I128" s="10"/>
    </row>
    <row r="129" spans="1:9" x14ac:dyDescent="0.2">
      <c r="A129" s="10">
        <v>16006</v>
      </c>
      <c r="B129" s="11">
        <v>42076</v>
      </c>
      <c r="C129" s="12">
        <v>135.31</v>
      </c>
      <c r="D129" s="12">
        <v>10.31</v>
      </c>
      <c r="E129" s="15" t="s">
        <v>11</v>
      </c>
      <c r="F129" s="33">
        <f>+C122+C123+C125+C126+C128+C129</f>
        <v>510.29</v>
      </c>
      <c r="G129" s="34">
        <v>504.62</v>
      </c>
      <c r="H129" s="10"/>
      <c r="I129" s="10"/>
    </row>
    <row r="130" spans="1:9" x14ac:dyDescent="0.2">
      <c r="A130" s="10">
        <v>16007</v>
      </c>
      <c r="B130" s="11">
        <v>42077</v>
      </c>
      <c r="C130" s="12">
        <v>8</v>
      </c>
      <c r="D130" s="12"/>
      <c r="E130" s="15" t="s">
        <v>293</v>
      </c>
      <c r="F130" s="21"/>
      <c r="G130" s="22"/>
      <c r="H130" s="10"/>
      <c r="I130" s="10"/>
    </row>
    <row r="131" spans="1:9" x14ac:dyDescent="0.2">
      <c r="A131" s="10">
        <v>16008</v>
      </c>
      <c r="B131" s="11">
        <v>42077</v>
      </c>
      <c r="C131" s="12">
        <v>28</v>
      </c>
      <c r="D131" s="12"/>
      <c r="E131" s="15" t="s">
        <v>264</v>
      </c>
      <c r="H131" s="10"/>
      <c r="I131" s="10"/>
    </row>
    <row r="132" spans="1:9" x14ac:dyDescent="0.2">
      <c r="A132" s="10">
        <v>16009</v>
      </c>
      <c r="B132" s="11">
        <v>42077</v>
      </c>
      <c r="C132" s="12">
        <v>102.84</v>
      </c>
      <c r="D132" s="12">
        <v>7.84</v>
      </c>
      <c r="E132" s="15" t="s">
        <v>11</v>
      </c>
      <c r="H132" s="10"/>
      <c r="I132" s="10"/>
    </row>
    <row r="133" spans="1:9" x14ac:dyDescent="0.2">
      <c r="A133" s="10">
        <v>16010</v>
      </c>
      <c r="B133" s="11">
        <v>42077</v>
      </c>
      <c r="C133" s="12">
        <v>21.599999999999998</v>
      </c>
      <c r="D133" s="12">
        <v>1.65</v>
      </c>
      <c r="E133" s="17"/>
      <c r="F133" s="18"/>
      <c r="G133" s="19"/>
      <c r="H133" s="12"/>
      <c r="I133" s="10"/>
    </row>
    <row r="134" spans="1:9" x14ac:dyDescent="0.2">
      <c r="A134" s="10">
        <v>16011</v>
      </c>
      <c r="B134" s="11">
        <v>42077</v>
      </c>
      <c r="C134" s="12">
        <v>6.4300000000000006</v>
      </c>
      <c r="D134" s="12">
        <v>0.49</v>
      </c>
      <c r="E134" s="17"/>
      <c r="H134" s="12"/>
      <c r="I134" s="10"/>
    </row>
    <row r="135" spans="1:9" x14ac:dyDescent="0.2">
      <c r="A135" s="10">
        <v>16012</v>
      </c>
      <c r="B135" s="11">
        <v>42077</v>
      </c>
      <c r="C135" s="12">
        <v>12.99</v>
      </c>
      <c r="D135" s="12">
        <v>0.99</v>
      </c>
      <c r="E135" s="15" t="s">
        <v>11</v>
      </c>
      <c r="H135" s="10"/>
      <c r="I135" s="10"/>
    </row>
    <row r="136" spans="1:9" x14ac:dyDescent="0.2">
      <c r="A136" s="10">
        <v>16013</v>
      </c>
      <c r="B136" s="11">
        <v>42077</v>
      </c>
      <c r="C136" s="12">
        <v>204</v>
      </c>
      <c r="D136" s="12">
        <v>15.55</v>
      </c>
      <c r="E136" s="17"/>
      <c r="H136" s="12"/>
      <c r="I136" s="10"/>
    </row>
    <row r="137" spans="1:9" x14ac:dyDescent="0.2">
      <c r="A137" s="10">
        <v>16014</v>
      </c>
      <c r="B137" s="11">
        <v>42077</v>
      </c>
      <c r="C137" s="12">
        <v>45.74</v>
      </c>
      <c r="D137" s="12">
        <v>3.49</v>
      </c>
      <c r="E137" s="15" t="s">
        <v>11</v>
      </c>
      <c r="H137" s="10"/>
      <c r="I137" s="10"/>
    </row>
    <row r="138" spans="1:9" x14ac:dyDescent="0.2">
      <c r="A138" s="10">
        <v>16015</v>
      </c>
      <c r="B138" s="11">
        <v>42077</v>
      </c>
      <c r="C138" s="12">
        <v>136.4</v>
      </c>
      <c r="D138" s="12">
        <v>10.4</v>
      </c>
      <c r="E138" s="15" t="s">
        <v>11</v>
      </c>
      <c r="F138" s="33">
        <f>+C131+C132+C135+C137+C138</f>
        <v>325.97000000000003</v>
      </c>
      <c r="G138" s="34">
        <v>323.26</v>
      </c>
      <c r="H138" s="10"/>
      <c r="I138" s="10"/>
    </row>
    <row r="139" spans="1:9" x14ac:dyDescent="0.2">
      <c r="A139" s="10">
        <v>16016</v>
      </c>
      <c r="B139" s="11">
        <v>42079</v>
      </c>
      <c r="C139" s="12">
        <v>77.94</v>
      </c>
      <c r="D139" s="12">
        <v>5.94</v>
      </c>
      <c r="E139" s="15" t="s">
        <v>294</v>
      </c>
      <c r="H139" s="10"/>
      <c r="I139" s="10"/>
    </row>
    <row r="140" spans="1:9" x14ac:dyDescent="0.2">
      <c r="A140" s="10">
        <v>16017</v>
      </c>
      <c r="B140" s="11">
        <v>42079</v>
      </c>
      <c r="C140" s="12">
        <v>48.71</v>
      </c>
      <c r="D140" s="12">
        <v>3.71</v>
      </c>
      <c r="E140" s="15" t="s">
        <v>11</v>
      </c>
      <c r="H140" s="10"/>
      <c r="I140" s="10"/>
    </row>
    <row r="141" spans="1:9" x14ac:dyDescent="0.2">
      <c r="A141" s="10">
        <v>16018</v>
      </c>
      <c r="B141" s="11">
        <v>42079</v>
      </c>
      <c r="C141" s="12">
        <v>20.57</v>
      </c>
      <c r="D141" s="12">
        <v>1.57</v>
      </c>
      <c r="E141" s="17"/>
      <c r="F141" s="18"/>
      <c r="G141" s="19"/>
      <c r="H141" s="12"/>
      <c r="I141" s="10"/>
    </row>
    <row r="142" spans="1:9" x14ac:dyDescent="0.2">
      <c r="A142" s="10">
        <v>16019</v>
      </c>
      <c r="B142" s="11">
        <v>42079</v>
      </c>
      <c r="C142" s="12">
        <v>62.79</v>
      </c>
      <c r="D142" s="12">
        <v>4.79</v>
      </c>
      <c r="E142" s="17"/>
      <c r="H142" s="12"/>
      <c r="I142" s="10"/>
    </row>
    <row r="143" spans="1:9" x14ac:dyDescent="0.2">
      <c r="A143" s="10">
        <v>16020</v>
      </c>
      <c r="B143" s="11">
        <v>42079</v>
      </c>
      <c r="C143" s="12">
        <v>27.009999999999998</v>
      </c>
      <c r="D143" s="12">
        <v>2.06</v>
      </c>
      <c r="E143" s="17"/>
      <c r="H143" s="12"/>
      <c r="I143" s="10"/>
    </row>
    <row r="144" spans="1:9" x14ac:dyDescent="0.2">
      <c r="A144" s="10">
        <v>16021</v>
      </c>
      <c r="B144" s="11">
        <v>42079</v>
      </c>
      <c r="C144" s="12">
        <v>63.87</v>
      </c>
      <c r="D144" s="12">
        <v>4.87</v>
      </c>
      <c r="E144" s="15" t="s">
        <v>295</v>
      </c>
      <c r="F144" s="21"/>
      <c r="G144" s="22"/>
      <c r="H144" s="10"/>
      <c r="I144" s="10"/>
    </row>
    <row r="145" spans="1:9" x14ac:dyDescent="0.2">
      <c r="A145" s="10">
        <v>16022</v>
      </c>
      <c r="B145" s="11">
        <v>42079</v>
      </c>
      <c r="C145" s="12">
        <v>0</v>
      </c>
      <c r="D145" s="12">
        <v>0</v>
      </c>
      <c r="E145" s="17"/>
      <c r="H145" s="12"/>
      <c r="I145" s="10"/>
    </row>
    <row r="146" spans="1:9" x14ac:dyDescent="0.2">
      <c r="A146" s="10">
        <v>16023</v>
      </c>
      <c r="B146" s="11">
        <v>42079</v>
      </c>
      <c r="C146" s="12">
        <v>153.16999999999999</v>
      </c>
      <c r="D146" s="12">
        <v>11.67</v>
      </c>
      <c r="E146" s="15" t="s">
        <v>21</v>
      </c>
      <c r="H146" s="10"/>
      <c r="I146" s="10"/>
    </row>
    <row r="147" spans="1:9" x14ac:dyDescent="0.2">
      <c r="A147" s="10">
        <v>16024</v>
      </c>
      <c r="B147" s="11">
        <v>42079</v>
      </c>
      <c r="C147" s="12">
        <v>48.5</v>
      </c>
      <c r="D147" s="12"/>
      <c r="E147" s="15" t="s">
        <v>16</v>
      </c>
      <c r="H147" s="10"/>
      <c r="I147" s="10"/>
    </row>
    <row r="148" spans="1:9" x14ac:dyDescent="0.2">
      <c r="A148" s="10">
        <v>16025</v>
      </c>
      <c r="B148" s="11">
        <v>42079</v>
      </c>
      <c r="C148" s="12">
        <v>128.82</v>
      </c>
      <c r="D148" s="12">
        <v>9.82</v>
      </c>
      <c r="E148" s="15" t="s">
        <v>21</v>
      </c>
      <c r="H148" s="10"/>
      <c r="I148" s="10"/>
    </row>
    <row r="149" spans="1:9" x14ac:dyDescent="0.2">
      <c r="A149" s="10">
        <v>16026</v>
      </c>
      <c r="B149" s="11">
        <v>42079</v>
      </c>
      <c r="C149" s="12">
        <v>270.08</v>
      </c>
      <c r="D149" s="12">
        <v>20.58</v>
      </c>
      <c r="E149" s="15" t="s">
        <v>11</v>
      </c>
      <c r="H149" s="10"/>
      <c r="I149" s="10"/>
    </row>
    <row r="150" spans="1:9" x14ac:dyDescent="0.2">
      <c r="A150" s="10">
        <v>16027</v>
      </c>
      <c r="B150" s="11">
        <v>42079</v>
      </c>
      <c r="C150" s="12">
        <v>96.34</v>
      </c>
      <c r="D150" s="12">
        <v>7.34</v>
      </c>
      <c r="E150" s="15" t="s">
        <v>7</v>
      </c>
      <c r="F150" s="33">
        <f>+C149+C150+C144+C140+81.19</f>
        <v>560.18999999999994</v>
      </c>
      <c r="G150" s="34">
        <v>554.53</v>
      </c>
      <c r="H150" s="10"/>
      <c r="I150" s="10"/>
    </row>
    <row r="151" spans="1:9" x14ac:dyDescent="0.2">
      <c r="A151" s="10">
        <v>16028</v>
      </c>
      <c r="B151" s="11">
        <v>42080</v>
      </c>
      <c r="C151" s="12">
        <v>9.69</v>
      </c>
      <c r="D151" s="12">
        <v>0.74</v>
      </c>
      <c r="E151" s="15" t="s">
        <v>7</v>
      </c>
      <c r="H151" s="10"/>
      <c r="I151" s="10"/>
    </row>
    <row r="152" spans="1:9" x14ac:dyDescent="0.2">
      <c r="A152" s="10">
        <v>16029</v>
      </c>
      <c r="B152" s="11">
        <v>42080</v>
      </c>
      <c r="C152" s="12">
        <v>134</v>
      </c>
      <c r="D152" s="12"/>
      <c r="E152" s="13" t="s">
        <v>279</v>
      </c>
      <c r="F152" s="18"/>
      <c r="G152" s="19"/>
      <c r="H152" s="12"/>
      <c r="I152" s="10"/>
    </row>
    <row r="153" spans="1:9" x14ac:dyDescent="0.2">
      <c r="A153" s="10">
        <v>16030</v>
      </c>
      <c r="B153" s="11">
        <v>42080</v>
      </c>
      <c r="C153" s="12">
        <v>22.08</v>
      </c>
      <c r="D153" s="12"/>
      <c r="E153" s="15" t="s">
        <v>296</v>
      </c>
      <c r="F153" s="21"/>
      <c r="G153" s="22"/>
      <c r="H153" s="10"/>
      <c r="I153" s="10"/>
    </row>
    <row r="154" spans="1:9" x14ac:dyDescent="0.2">
      <c r="A154" s="10">
        <v>16031</v>
      </c>
      <c r="B154" s="11">
        <v>42080</v>
      </c>
      <c r="C154" s="12">
        <v>22</v>
      </c>
      <c r="D154" s="12">
        <v>1.68</v>
      </c>
      <c r="E154" s="17"/>
      <c r="H154" s="12"/>
      <c r="I154" s="10"/>
    </row>
    <row r="155" spans="1:9" x14ac:dyDescent="0.2">
      <c r="A155" s="10">
        <v>16032</v>
      </c>
      <c r="B155" s="11">
        <v>42080</v>
      </c>
      <c r="C155" s="12">
        <v>233.82</v>
      </c>
      <c r="D155" s="12">
        <v>17.82</v>
      </c>
      <c r="E155" s="15" t="s">
        <v>11</v>
      </c>
      <c r="H155" s="10"/>
      <c r="I155" s="10"/>
    </row>
    <row r="156" spans="1:9" x14ac:dyDescent="0.2">
      <c r="A156" s="10">
        <v>16033</v>
      </c>
      <c r="B156" s="11">
        <v>42080</v>
      </c>
      <c r="C156" s="12">
        <v>58.46</v>
      </c>
      <c r="D156" s="12">
        <v>4.46</v>
      </c>
      <c r="E156" s="15" t="s">
        <v>21</v>
      </c>
      <c r="F156" s="21"/>
      <c r="G156" s="22"/>
      <c r="H156" s="10"/>
      <c r="I156" s="10"/>
    </row>
    <row r="157" spans="1:9" x14ac:dyDescent="0.2">
      <c r="A157" s="10">
        <v>16034</v>
      </c>
      <c r="B157" s="11">
        <v>42080</v>
      </c>
      <c r="C157" s="12">
        <v>18.29</v>
      </c>
      <c r="D157" s="12">
        <v>1.39</v>
      </c>
      <c r="E157" s="15" t="s">
        <v>11</v>
      </c>
      <c r="H157" s="10"/>
      <c r="I157" s="10"/>
    </row>
    <row r="158" spans="1:9" x14ac:dyDescent="0.2">
      <c r="A158" s="10">
        <v>16035</v>
      </c>
      <c r="B158" s="11">
        <v>42080</v>
      </c>
      <c r="C158" s="12">
        <v>92</v>
      </c>
      <c r="D158" s="12"/>
      <c r="E158" s="13" t="s">
        <v>281</v>
      </c>
      <c r="H158" s="12"/>
      <c r="I158" s="10"/>
    </row>
    <row r="159" spans="1:9" x14ac:dyDescent="0.2">
      <c r="A159" s="10">
        <v>16036</v>
      </c>
      <c r="B159" s="11">
        <v>42080</v>
      </c>
      <c r="C159" s="12">
        <v>46.389999999999993</v>
      </c>
      <c r="D159" s="12">
        <v>3.54</v>
      </c>
      <c r="E159" s="17"/>
      <c r="F159" s="116"/>
      <c r="G159" s="116"/>
      <c r="H159" s="12"/>
      <c r="I159" s="10"/>
    </row>
    <row r="160" spans="1:9" x14ac:dyDescent="0.2">
      <c r="A160" s="10">
        <v>16037</v>
      </c>
      <c r="B160" s="11">
        <v>42080</v>
      </c>
      <c r="C160" s="12">
        <v>16.239999999999998</v>
      </c>
      <c r="D160" s="12">
        <v>1.24</v>
      </c>
      <c r="E160" s="15" t="s">
        <v>11</v>
      </c>
      <c r="H160" s="10"/>
      <c r="I160" s="10"/>
    </row>
    <row r="161" spans="1:9" x14ac:dyDescent="0.2">
      <c r="A161" s="10">
        <v>16038</v>
      </c>
      <c r="B161" s="11">
        <v>42080</v>
      </c>
      <c r="C161" s="12">
        <v>181</v>
      </c>
      <c r="D161" s="12"/>
      <c r="E161" s="15" t="s">
        <v>11</v>
      </c>
      <c r="F161" s="21"/>
      <c r="G161" s="22"/>
      <c r="H161" s="10"/>
      <c r="I161" s="10"/>
    </row>
    <row r="162" spans="1:9" x14ac:dyDescent="0.2">
      <c r="A162" s="10">
        <v>16039</v>
      </c>
      <c r="B162" s="11">
        <v>42080</v>
      </c>
      <c r="C162" s="12">
        <v>107.02000000000001</v>
      </c>
      <c r="D162" s="12">
        <v>8.16</v>
      </c>
      <c r="E162" s="15" t="s">
        <v>7</v>
      </c>
      <c r="H162" s="10"/>
      <c r="I162" s="10"/>
    </row>
    <row r="163" spans="1:9" x14ac:dyDescent="0.2">
      <c r="A163" s="10">
        <v>16040</v>
      </c>
      <c r="B163" s="11">
        <v>42080</v>
      </c>
      <c r="C163" s="12">
        <v>84.44</v>
      </c>
      <c r="D163" s="12">
        <v>6.44</v>
      </c>
      <c r="E163" s="15" t="s">
        <v>297</v>
      </c>
      <c r="F163" s="33">
        <f>+C151+C157+C160+C161+C162</f>
        <v>332.24</v>
      </c>
      <c r="G163" s="34">
        <v>323.68</v>
      </c>
      <c r="H163" s="10"/>
      <c r="I163" s="10"/>
    </row>
    <row r="164" spans="1:9" x14ac:dyDescent="0.2">
      <c r="A164" s="10">
        <v>16041</v>
      </c>
      <c r="B164" s="11">
        <v>42081</v>
      </c>
      <c r="C164" s="12">
        <v>294.00000000000006</v>
      </c>
      <c r="D164" s="12">
        <v>22.41</v>
      </c>
      <c r="E164" s="15"/>
      <c r="H164" s="10"/>
      <c r="I164" s="10"/>
    </row>
    <row r="165" spans="1:9" x14ac:dyDescent="0.2">
      <c r="A165" s="10">
        <v>16042</v>
      </c>
      <c r="B165" s="11">
        <v>42081</v>
      </c>
      <c r="C165" s="12">
        <v>145.27000000000001</v>
      </c>
      <c r="D165" s="12"/>
      <c r="E165" s="23" t="s">
        <v>296</v>
      </c>
      <c r="H165" s="10"/>
      <c r="I165" s="10"/>
    </row>
    <row r="166" spans="1:9" x14ac:dyDescent="0.2">
      <c r="A166" s="10">
        <v>16043</v>
      </c>
      <c r="B166" s="11">
        <v>42081</v>
      </c>
      <c r="C166" s="12">
        <v>36.81</v>
      </c>
      <c r="D166" s="12">
        <v>2.81</v>
      </c>
      <c r="E166" s="15" t="s">
        <v>11</v>
      </c>
      <c r="H166" s="10"/>
      <c r="I166" s="10"/>
    </row>
    <row r="167" spans="1:9" x14ac:dyDescent="0.2">
      <c r="A167" s="10">
        <v>16044</v>
      </c>
      <c r="B167" s="11">
        <v>42081</v>
      </c>
      <c r="C167" s="12">
        <v>9.2900000000000009</v>
      </c>
      <c r="D167" s="12"/>
      <c r="E167" s="13" t="s">
        <v>8</v>
      </c>
      <c r="F167" s="33">
        <f>+C155+C166+15</f>
        <v>285.63</v>
      </c>
      <c r="G167" s="34">
        <v>280.43</v>
      </c>
      <c r="H167" s="12"/>
      <c r="I167" s="10"/>
    </row>
    <row r="168" spans="1:9" x14ac:dyDescent="0.2">
      <c r="A168" s="10">
        <v>16045</v>
      </c>
      <c r="B168" s="11">
        <v>42082</v>
      </c>
      <c r="C168" s="12">
        <v>253.2</v>
      </c>
      <c r="D168" s="12">
        <v>19.3</v>
      </c>
      <c r="E168" s="15" t="s">
        <v>21</v>
      </c>
      <c r="H168" s="10"/>
      <c r="I168" s="10"/>
    </row>
    <row r="169" spans="1:9" x14ac:dyDescent="0.2">
      <c r="A169" s="10">
        <v>16046</v>
      </c>
      <c r="B169" s="11">
        <v>42082</v>
      </c>
      <c r="C169" s="12">
        <v>13.53</v>
      </c>
      <c r="D169" s="12">
        <v>1.03</v>
      </c>
      <c r="E169" s="15" t="s">
        <v>21</v>
      </c>
      <c r="F169" s="21"/>
      <c r="G169" s="22"/>
      <c r="H169" s="10"/>
      <c r="I169" s="10"/>
    </row>
    <row r="170" spans="1:9" x14ac:dyDescent="0.2">
      <c r="A170" s="10">
        <v>16047</v>
      </c>
      <c r="B170" s="11">
        <v>42082</v>
      </c>
      <c r="C170" s="12">
        <v>420.01</v>
      </c>
      <c r="D170" s="12">
        <v>32.01</v>
      </c>
      <c r="E170" s="15" t="s">
        <v>11</v>
      </c>
      <c r="F170" s="21"/>
      <c r="G170" s="22"/>
      <c r="H170" s="10"/>
      <c r="I170" s="10"/>
    </row>
    <row r="171" spans="1:9" x14ac:dyDescent="0.2">
      <c r="A171" s="10">
        <v>16048</v>
      </c>
      <c r="B171" s="11">
        <v>42082</v>
      </c>
      <c r="C171" s="12">
        <v>177.53</v>
      </c>
      <c r="D171" s="12">
        <v>13.53</v>
      </c>
      <c r="E171" s="15" t="s">
        <v>7</v>
      </c>
      <c r="H171" s="10"/>
      <c r="I171" s="10"/>
    </row>
    <row r="172" spans="1:9" x14ac:dyDescent="0.2">
      <c r="A172" s="10">
        <v>16049</v>
      </c>
      <c r="B172" s="11">
        <v>42082</v>
      </c>
      <c r="C172" s="12">
        <v>40</v>
      </c>
      <c r="D172" s="12">
        <v>3.05</v>
      </c>
      <c r="E172" s="17"/>
      <c r="H172" s="12"/>
      <c r="I172" s="10"/>
    </row>
    <row r="173" spans="1:9" x14ac:dyDescent="0.2">
      <c r="A173" s="10">
        <v>16050</v>
      </c>
      <c r="B173" s="11">
        <v>42082</v>
      </c>
      <c r="C173" s="12">
        <v>12.99</v>
      </c>
      <c r="D173" s="12">
        <v>0.99</v>
      </c>
      <c r="E173" s="15" t="s">
        <v>21</v>
      </c>
      <c r="F173" s="21"/>
      <c r="G173" s="22"/>
      <c r="H173" s="10"/>
      <c r="I173" s="10"/>
    </row>
    <row r="174" spans="1:9" x14ac:dyDescent="0.2">
      <c r="A174" s="10">
        <v>16051</v>
      </c>
      <c r="B174" s="11">
        <v>42082</v>
      </c>
      <c r="C174" s="12">
        <v>84.44</v>
      </c>
      <c r="D174" s="12">
        <v>6.44</v>
      </c>
      <c r="E174" s="15" t="s">
        <v>298</v>
      </c>
      <c r="H174" s="10"/>
      <c r="I174" s="10"/>
    </row>
    <row r="175" spans="1:9" x14ac:dyDescent="0.2">
      <c r="A175" s="10">
        <v>16052</v>
      </c>
      <c r="B175" s="11">
        <v>42082</v>
      </c>
      <c r="C175" s="12">
        <v>137.47999999999999</v>
      </c>
      <c r="D175" s="12">
        <v>10.48</v>
      </c>
      <c r="E175" s="15"/>
      <c r="H175" s="10"/>
      <c r="I175" s="10"/>
    </row>
    <row r="176" spans="1:9" x14ac:dyDescent="0.2">
      <c r="A176" s="10">
        <v>16053</v>
      </c>
      <c r="B176" s="11">
        <v>42082</v>
      </c>
      <c r="C176" s="12">
        <v>111.5</v>
      </c>
      <c r="D176" s="12">
        <v>8.5</v>
      </c>
      <c r="E176" s="17"/>
      <c r="F176" s="18"/>
      <c r="G176" s="19"/>
      <c r="H176" s="12"/>
      <c r="I176" s="10"/>
    </row>
    <row r="177" spans="1:9" x14ac:dyDescent="0.2">
      <c r="A177" s="10">
        <v>16054</v>
      </c>
      <c r="B177" s="11">
        <v>42082</v>
      </c>
      <c r="C177" s="12">
        <v>169</v>
      </c>
      <c r="D177" s="12">
        <v>12.88</v>
      </c>
      <c r="E177" s="17"/>
      <c r="F177" s="18"/>
      <c r="G177" s="19"/>
      <c r="H177" s="12"/>
      <c r="I177" s="10"/>
    </row>
    <row r="178" spans="1:9" x14ac:dyDescent="0.2">
      <c r="A178" s="10">
        <v>16055</v>
      </c>
      <c r="B178" s="11">
        <v>42082</v>
      </c>
      <c r="C178" s="12">
        <v>39</v>
      </c>
      <c r="D178" s="12">
        <v>2.97</v>
      </c>
      <c r="E178" s="17"/>
      <c r="H178" s="12"/>
      <c r="I178" s="10"/>
    </row>
    <row r="179" spans="1:9" x14ac:dyDescent="0.2">
      <c r="A179" s="10">
        <v>16056</v>
      </c>
      <c r="B179" s="11">
        <v>42082</v>
      </c>
      <c r="C179" s="12">
        <v>870.87</v>
      </c>
      <c r="D179" s="12">
        <v>66.37</v>
      </c>
      <c r="E179" s="15" t="s">
        <v>11</v>
      </c>
      <c r="F179" s="33">
        <f>12.73+C170+C171+150+370.07-285.63</f>
        <v>844.70999999999992</v>
      </c>
      <c r="G179" s="34">
        <v>828.26</v>
      </c>
      <c r="H179" s="10"/>
      <c r="I179" s="10"/>
    </row>
    <row r="180" spans="1:9" x14ac:dyDescent="0.2">
      <c r="A180" s="10">
        <v>16057</v>
      </c>
      <c r="B180" s="11">
        <v>42083</v>
      </c>
      <c r="C180" s="12">
        <v>30</v>
      </c>
      <c r="D180" s="12">
        <v>2.29</v>
      </c>
      <c r="E180" s="15" t="s">
        <v>11</v>
      </c>
      <c r="H180" s="10"/>
      <c r="I180" s="10"/>
    </row>
    <row r="181" spans="1:9" x14ac:dyDescent="0.2">
      <c r="A181" s="10">
        <v>16058</v>
      </c>
      <c r="B181" s="11">
        <v>42083</v>
      </c>
      <c r="C181" s="12">
        <v>49.8</v>
      </c>
      <c r="D181" s="12">
        <v>3.8</v>
      </c>
      <c r="E181" s="15" t="s">
        <v>11</v>
      </c>
      <c r="F181" s="21"/>
      <c r="G181" s="22"/>
      <c r="H181" s="10"/>
      <c r="I181" s="10"/>
    </row>
    <row r="182" spans="1:9" x14ac:dyDescent="0.2">
      <c r="A182" s="10">
        <v>16059</v>
      </c>
      <c r="B182" s="11">
        <v>42083</v>
      </c>
      <c r="C182" s="12">
        <v>133.15</v>
      </c>
      <c r="D182" s="12">
        <v>10.15</v>
      </c>
      <c r="E182" s="15" t="s">
        <v>13</v>
      </c>
      <c r="H182" s="10"/>
      <c r="I182" s="10"/>
    </row>
    <row r="183" spans="1:9" x14ac:dyDescent="0.2">
      <c r="A183" s="10">
        <v>16060</v>
      </c>
      <c r="B183" s="11">
        <v>42083</v>
      </c>
      <c r="C183" s="12">
        <v>270.63</v>
      </c>
      <c r="D183" s="12">
        <v>20.63</v>
      </c>
      <c r="E183" s="15" t="s">
        <v>21</v>
      </c>
      <c r="F183" s="21"/>
      <c r="G183" s="22"/>
      <c r="H183" s="10"/>
      <c r="I183" s="10"/>
    </row>
    <row r="184" spans="1:9" x14ac:dyDescent="0.2">
      <c r="A184" s="10">
        <v>16061</v>
      </c>
      <c r="B184" s="11">
        <v>42083</v>
      </c>
      <c r="C184" s="12">
        <v>11.85</v>
      </c>
      <c r="D184" s="12">
        <v>0.9</v>
      </c>
      <c r="E184" s="15" t="s">
        <v>11</v>
      </c>
      <c r="H184" s="10"/>
      <c r="I184" s="10"/>
    </row>
    <row r="185" spans="1:9" x14ac:dyDescent="0.2">
      <c r="A185" s="10">
        <v>16062</v>
      </c>
      <c r="B185" s="11">
        <v>42083</v>
      </c>
      <c r="C185" s="12">
        <v>21.599999999999998</v>
      </c>
      <c r="D185" s="12">
        <v>1.65</v>
      </c>
      <c r="E185" s="17"/>
      <c r="I185" s="10"/>
    </row>
    <row r="186" spans="1:9" x14ac:dyDescent="0.2">
      <c r="A186" s="10">
        <v>16063</v>
      </c>
      <c r="B186" s="11">
        <v>42083</v>
      </c>
      <c r="C186" s="12">
        <v>11</v>
      </c>
      <c r="D186" s="12">
        <v>0.84</v>
      </c>
      <c r="E186" s="17"/>
      <c r="F186" s="18"/>
      <c r="G186" s="19"/>
      <c r="H186" s="12"/>
      <c r="I186" s="10"/>
    </row>
    <row r="187" spans="1:9" x14ac:dyDescent="0.2">
      <c r="A187" s="10">
        <v>16064</v>
      </c>
      <c r="B187" s="11">
        <v>42083</v>
      </c>
      <c r="C187" s="12">
        <v>21.43</v>
      </c>
      <c r="D187" s="12">
        <v>1.63</v>
      </c>
      <c r="E187" s="17"/>
      <c r="F187" s="18"/>
      <c r="G187" s="19"/>
      <c r="H187" s="12"/>
      <c r="I187" s="10"/>
    </row>
    <row r="188" spans="1:9" x14ac:dyDescent="0.2">
      <c r="A188" s="10">
        <v>16065</v>
      </c>
      <c r="B188" s="11">
        <v>42083</v>
      </c>
      <c r="C188" s="12">
        <v>163</v>
      </c>
      <c r="D188" s="12"/>
      <c r="E188" s="13" t="s">
        <v>8</v>
      </c>
      <c r="H188" s="12"/>
      <c r="I188" s="10"/>
    </row>
    <row r="189" spans="1:9" x14ac:dyDescent="0.2">
      <c r="A189" s="10">
        <v>16066</v>
      </c>
      <c r="B189" s="11">
        <v>42083</v>
      </c>
      <c r="C189" s="12">
        <v>384.29</v>
      </c>
      <c r="D189" s="12">
        <v>29.29</v>
      </c>
      <c r="E189" s="15" t="s">
        <v>21</v>
      </c>
      <c r="H189" s="10"/>
      <c r="I189" s="10"/>
    </row>
    <row r="190" spans="1:9" x14ac:dyDescent="0.2">
      <c r="A190" s="10">
        <v>16067</v>
      </c>
      <c r="B190" s="11">
        <v>42083</v>
      </c>
      <c r="C190" s="12">
        <v>19.690000000000001</v>
      </c>
      <c r="D190" s="12"/>
      <c r="E190" s="13" t="s">
        <v>8</v>
      </c>
      <c r="F190" s="18"/>
      <c r="G190" s="19"/>
      <c r="H190" s="12"/>
      <c r="I190" s="10"/>
    </row>
    <row r="191" spans="1:9" x14ac:dyDescent="0.2">
      <c r="A191" s="10">
        <v>16068</v>
      </c>
      <c r="B191" s="11">
        <v>42083</v>
      </c>
      <c r="C191" s="12">
        <v>47.63</v>
      </c>
      <c r="D191" s="12">
        <v>3.63</v>
      </c>
      <c r="E191" s="15" t="s">
        <v>7</v>
      </c>
      <c r="H191" s="10"/>
      <c r="I191" s="10"/>
    </row>
    <row r="192" spans="1:9" x14ac:dyDescent="0.2">
      <c r="A192" s="10">
        <v>16069</v>
      </c>
      <c r="B192" s="11">
        <v>42083</v>
      </c>
      <c r="C192" s="12">
        <v>27.979999999999997</v>
      </c>
      <c r="D192" s="12">
        <v>2.13</v>
      </c>
      <c r="E192" s="17"/>
      <c r="H192" s="12"/>
      <c r="I192" s="10"/>
    </row>
    <row r="193" spans="1:9" x14ac:dyDescent="0.2">
      <c r="A193" s="10">
        <v>16070</v>
      </c>
      <c r="B193" s="11">
        <v>42083</v>
      </c>
      <c r="C193" s="12">
        <v>5.3900000000000006</v>
      </c>
      <c r="D193" s="12">
        <v>0.41</v>
      </c>
      <c r="E193" s="17"/>
      <c r="F193" s="33">
        <f>187.28+30+C181+C182+C184+51.06</f>
        <v>463.14000000000004</v>
      </c>
      <c r="G193" s="34">
        <v>453.88</v>
      </c>
      <c r="H193" s="12"/>
      <c r="I193" s="10"/>
    </row>
    <row r="194" spans="1:9" x14ac:dyDescent="0.2">
      <c r="A194" s="10">
        <v>16071</v>
      </c>
      <c r="B194" s="11">
        <v>42084</v>
      </c>
      <c r="C194" s="12">
        <v>35</v>
      </c>
      <c r="D194" s="12">
        <v>2.67</v>
      </c>
      <c r="E194" s="17"/>
      <c r="F194" s="18"/>
      <c r="G194" s="19"/>
      <c r="H194" s="12"/>
      <c r="I194" s="10"/>
    </row>
    <row r="195" spans="1:9" x14ac:dyDescent="0.2">
      <c r="A195" s="10">
        <v>16072</v>
      </c>
      <c r="B195" s="11">
        <v>42084</v>
      </c>
      <c r="C195" s="12">
        <v>140</v>
      </c>
      <c r="D195" s="12"/>
      <c r="E195" s="13" t="s">
        <v>8</v>
      </c>
      <c r="H195" s="12"/>
      <c r="I195" s="10"/>
    </row>
    <row r="196" spans="1:9" x14ac:dyDescent="0.2">
      <c r="A196" s="10">
        <v>16073</v>
      </c>
      <c r="B196" s="11">
        <v>42084</v>
      </c>
      <c r="C196" s="12">
        <v>95</v>
      </c>
      <c r="D196" s="12"/>
      <c r="E196" s="15" t="s">
        <v>11</v>
      </c>
      <c r="H196" s="10"/>
      <c r="I196" s="10"/>
    </row>
    <row r="197" spans="1:9" x14ac:dyDescent="0.2">
      <c r="A197" s="10">
        <v>16074</v>
      </c>
      <c r="B197" s="11">
        <v>42084</v>
      </c>
      <c r="C197" s="12">
        <v>20.41</v>
      </c>
      <c r="D197" s="12">
        <v>1.56</v>
      </c>
      <c r="E197" s="13" t="s">
        <v>11</v>
      </c>
      <c r="F197" s="18"/>
      <c r="G197" s="19"/>
      <c r="H197" s="12"/>
      <c r="I197" s="10"/>
    </row>
    <row r="198" spans="1:9" x14ac:dyDescent="0.2">
      <c r="A198" s="10">
        <v>16075</v>
      </c>
      <c r="B198" s="11">
        <v>42084</v>
      </c>
      <c r="C198" s="12">
        <v>85</v>
      </c>
      <c r="D198" s="12"/>
      <c r="E198" s="13" t="s">
        <v>8</v>
      </c>
      <c r="H198" s="12"/>
      <c r="I198" s="10"/>
    </row>
    <row r="199" spans="1:9" x14ac:dyDescent="0.2">
      <c r="A199" s="10">
        <v>16076</v>
      </c>
      <c r="B199" s="11">
        <v>42084</v>
      </c>
      <c r="C199" s="12">
        <v>99</v>
      </c>
      <c r="D199" s="12"/>
      <c r="E199" s="15" t="s">
        <v>25</v>
      </c>
      <c r="H199" s="10"/>
      <c r="I199" s="10"/>
    </row>
    <row r="200" spans="1:9" x14ac:dyDescent="0.2">
      <c r="A200" s="10">
        <v>16077</v>
      </c>
      <c r="B200" s="11">
        <v>42084</v>
      </c>
      <c r="C200" s="12">
        <v>30</v>
      </c>
      <c r="D200" s="12"/>
      <c r="E200" s="13" t="s">
        <v>8</v>
      </c>
      <c r="H200" s="12"/>
      <c r="I200" s="10"/>
    </row>
    <row r="201" spans="1:9" x14ac:dyDescent="0.2">
      <c r="A201" s="10">
        <v>16078</v>
      </c>
      <c r="B201" s="11">
        <v>42084</v>
      </c>
      <c r="C201" s="12">
        <v>13.920000000000002</v>
      </c>
      <c r="D201" s="12">
        <v>1.06</v>
      </c>
      <c r="E201" s="15" t="s">
        <v>268</v>
      </c>
      <c r="F201" s="33">
        <f>+C196+C179+C197</f>
        <v>986.28</v>
      </c>
      <c r="G201" s="34">
        <v>968.02</v>
      </c>
      <c r="H201" s="10"/>
      <c r="I201" s="10"/>
    </row>
    <row r="202" spans="1:9" x14ac:dyDescent="0.2">
      <c r="A202" s="10">
        <v>16079</v>
      </c>
      <c r="B202" s="11">
        <v>42086</v>
      </c>
      <c r="C202" s="12">
        <v>9.69</v>
      </c>
      <c r="D202" s="12">
        <v>0.74</v>
      </c>
      <c r="E202" s="17"/>
      <c r="F202" s="18"/>
      <c r="G202" s="19"/>
      <c r="H202" s="12"/>
      <c r="I202" s="10"/>
    </row>
    <row r="203" spans="1:9" x14ac:dyDescent="0.2">
      <c r="A203" s="10">
        <v>16080</v>
      </c>
      <c r="B203" s="11">
        <v>42086</v>
      </c>
      <c r="C203" s="12">
        <v>25.93</v>
      </c>
      <c r="D203" s="12">
        <v>1.98</v>
      </c>
      <c r="E203" s="17"/>
      <c r="F203" s="18"/>
      <c r="G203" s="19"/>
      <c r="H203" s="12"/>
      <c r="I203" s="10"/>
    </row>
    <row r="204" spans="1:9" x14ac:dyDescent="0.2">
      <c r="A204" s="10">
        <v>16081</v>
      </c>
      <c r="B204" s="11">
        <v>42086</v>
      </c>
      <c r="C204" s="12">
        <v>158</v>
      </c>
      <c r="D204" s="12"/>
      <c r="E204" s="17"/>
      <c r="H204" s="12"/>
      <c r="I204" s="10"/>
    </row>
    <row r="205" spans="1:9" x14ac:dyDescent="0.2">
      <c r="A205" s="10">
        <v>16082</v>
      </c>
      <c r="B205" s="11">
        <v>42086</v>
      </c>
      <c r="C205" s="12">
        <v>3</v>
      </c>
      <c r="D205" s="12">
        <v>0.23</v>
      </c>
      <c r="E205" s="17"/>
      <c r="H205" s="12"/>
      <c r="I205" s="10"/>
    </row>
    <row r="206" spans="1:9" x14ac:dyDescent="0.2">
      <c r="A206" s="10">
        <v>16083</v>
      </c>
      <c r="B206" s="11">
        <v>42086</v>
      </c>
      <c r="C206" s="12">
        <v>168</v>
      </c>
      <c r="D206" s="12"/>
      <c r="E206" s="15" t="s">
        <v>299</v>
      </c>
      <c r="H206" s="10"/>
      <c r="I206" s="10"/>
    </row>
    <row r="207" spans="1:9" x14ac:dyDescent="0.2">
      <c r="A207" s="10">
        <v>16084</v>
      </c>
      <c r="B207" s="11">
        <v>42086</v>
      </c>
      <c r="C207" s="12">
        <v>22.73</v>
      </c>
      <c r="D207" s="12">
        <v>1.73</v>
      </c>
      <c r="E207" s="15" t="s">
        <v>11</v>
      </c>
      <c r="H207" s="10"/>
      <c r="I207" s="10"/>
    </row>
    <row r="208" spans="1:9" x14ac:dyDescent="0.2">
      <c r="A208" s="10">
        <v>16085</v>
      </c>
      <c r="B208" s="11">
        <v>42086</v>
      </c>
      <c r="C208" s="12">
        <v>391.32</v>
      </c>
      <c r="D208" s="12">
        <v>29.82</v>
      </c>
      <c r="E208" s="15"/>
      <c r="F208" s="21"/>
      <c r="G208" s="22"/>
      <c r="H208" s="10"/>
      <c r="I208" s="10"/>
    </row>
    <row r="209" spans="1:9" x14ac:dyDescent="0.2">
      <c r="A209" s="10">
        <v>16086</v>
      </c>
      <c r="B209" s="11">
        <v>42086</v>
      </c>
      <c r="C209" s="12">
        <v>16.239999999999998</v>
      </c>
      <c r="D209" s="12">
        <v>1.24</v>
      </c>
      <c r="E209" s="17"/>
      <c r="H209" s="12"/>
      <c r="I209" s="10"/>
    </row>
    <row r="210" spans="1:9" x14ac:dyDescent="0.2">
      <c r="A210" s="10">
        <v>16087</v>
      </c>
      <c r="B210" s="11">
        <v>42086</v>
      </c>
      <c r="C210" s="12">
        <v>110.74</v>
      </c>
      <c r="D210" s="12">
        <v>8.44</v>
      </c>
      <c r="E210" s="15"/>
      <c r="H210" s="10"/>
      <c r="I210" s="10"/>
    </row>
    <row r="211" spans="1:9" x14ac:dyDescent="0.2">
      <c r="A211" s="10">
        <v>16088</v>
      </c>
      <c r="B211" s="11">
        <v>42086</v>
      </c>
      <c r="C211" s="12">
        <v>186.19</v>
      </c>
      <c r="D211" s="12">
        <v>14.19</v>
      </c>
      <c r="E211" s="17"/>
      <c r="F211" s="18"/>
      <c r="G211" s="19"/>
      <c r="H211" s="12"/>
      <c r="I211" s="10"/>
    </row>
    <row r="212" spans="1:9" x14ac:dyDescent="0.2">
      <c r="A212" s="10">
        <v>16089</v>
      </c>
      <c r="B212" s="11">
        <v>42086</v>
      </c>
      <c r="C212" s="12">
        <v>27.009999999999998</v>
      </c>
      <c r="D212" s="12">
        <v>2.06</v>
      </c>
      <c r="E212" s="17"/>
      <c r="F212" s="18"/>
      <c r="G212" s="19"/>
      <c r="H212" s="12"/>
      <c r="I212" s="10"/>
    </row>
    <row r="213" spans="1:9" x14ac:dyDescent="0.2">
      <c r="A213" s="10">
        <v>16090</v>
      </c>
      <c r="B213" s="11">
        <v>42086</v>
      </c>
      <c r="C213" s="12">
        <v>175.37</v>
      </c>
      <c r="D213" s="12">
        <v>13.37</v>
      </c>
      <c r="E213" s="15" t="s">
        <v>11</v>
      </c>
      <c r="H213" s="10"/>
      <c r="I213" s="10"/>
    </row>
    <row r="214" spans="1:9" x14ac:dyDescent="0.2">
      <c r="A214" s="10">
        <v>16091</v>
      </c>
      <c r="B214" s="11">
        <v>42086</v>
      </c>
      <c r="C214" s="12">
        <v>43.3</v>
      </c>
      <c r="D214" s="12">
        <v>3.3</v>
      </c>
      <c r="E214" s="15" t="s">
        <v>11</v>
      </c>
      <c r="F214" s="21"/>
      <c r="G214" s="22"/>
      <c r="H214" s="10"/>
      <c r="I214" s="10"/>
    </row>
    <row r="215" spans="1:9" x14ac:dyDescent="0.2">
      <c r="A215" s="10">
        <v>16092</v>
      </c>
      <c r="B215" s="11">
        <v>42086</v>
      </c>
      <c r="C215" s="12">
        <v>60.62</v>
      </c>
      <c r="D215" s="12">
        <v>4.62</v>
      </c>
      <c r="E215" s="15" t="s">
        <v>11</v>
      </c>
      <c r="H215" s="10"/>
      <c r="I215" s="10"/>
    </row>
    <row r="216" spans="1:9" x14ac:dyDescent="0.2">
      <c r="A216" s="10">
        <v>16093</v>
      </c>
      <c r="B216" s="11">
        <v>42086</v>
      </c>
      <c r="C216" s="12">
        <v>32.479999999999997</v>
      </c>
      <c r="D216" s="12">
        <v>2.48</v>
      </c>
      <c r="E216" s="15" t="s">
        <v>11</v>
      </c>
      <c r="F216" s="21"/>
      <c r="G216" s="22"/>
      <c r="H216" s="10"/>
      <c r="I216" s="10"/>
    </row>
    <row r="217" spans="1:9" x14ac:dyDescent="0.2">
      <c r="A217" s="10">
        <v>16094</v>
      </c>
      <c r="B217" s="11">
        <v>42086</v>
      </c>
      <c r="C217" s="12">
        <v>29.23</v>
      </c>
      <c r="D217" s="12">
        <v>2.23</v>
      </c>
      <c r="E217" s="15" t="s">
        <v>11</v>
      </c>
      <c r="H217" s="10"/>
      <c r="I217" s="10"/>
    </row>
    <row r="218" spans="1:9" x14ac:dyDescent="0.2">
      <c r="A218" s="10">
        <v>16095</v>
      </c>
      <c r="B218" s="11">
        <v>42086</v>
      </c>
      <c r="C218" s="12">
        <v>121.78</v>
      </c>
      <c r="D218" s="12">
        <v>9.2799999999999994</v>
      </c>
      <c r="E218" s="15" t="s">
        <v>11</v>
      </c>
      <c r="F218" s="33">
        <f>+C213+87.73+C214+C215+C216+C217+C218</f>
        <v>550.5100000000001</v>
      </c>
      <c r="G218" s="34">
        <v>545.19000000000005</v>
      </c>
      <c r="H218" s="10"/>
      <c r="I218" s="10"/>
    </row>
    <row r="219" spans="1:9" x14ac:dyDescent="0.2">
      <c r="A219" s="10">
        <v>16096</v>
      </c>
      <c r="B219" s="11">
        <v>42087</v>
      </c>
      <c r="C219" s="12">
        <v>59.54</v>
      </c>
      <c r="D219" s="12">
        <v>4.54</v>
      </c>
      <c r="E219" s="17"/>
      <c r="H219" s="12"/>
      <c r="I219" s="10"/>
    </row>
    <row r="220" spans="1:9" x14ac:dyDescent="0.2">
      <c r="A220" s="10">
        <v>16097</v>
      </c>
      <c r="B220" s="11">
        <v>42087</v>
      </c>
      <c r="C220" s="12">
        <v>201</v>
      </c>
      <c r="D220" s="12"/>
      <c r="E220" s="13" t="s">
        <v>300</v>
      </c>
      <c r="H220" s="12"/>
      <c r="I220" s="10"/>
    </row>
    <row r="221" spans="1:9" x14ac:dyDescent="0.2">
      <c r="A221" s="10">
        <v>16098</v>
      </c>
      <c r="B221" s="11">
        <v>42087</v>
      </c>
      <c r="C221" s="12">
        <v>11.91</v>
      </c>
      <c r="D221" s="12">
        <v>0.91</v>
      </c>
      <c r="E221" s="15" t="s">
        <v>11</v>
      </c>
      <c r="H221" s="10"/>
      <c r="I221" s="10"/>
    </row>
    <row r="222" spans="1:9" x14ac:dyDescent="0.2">
      <c r="A222" s="10">
        <v>16099</v>
      </c>
      <c r="B222" s="11">
        <v>42087</v>
      </c>
      <c r="C222" s="12">
        <v>11.85</v>
      </c>
      <c r="D222" s="12">
        <v>0.9</v>
      </c>
      <c r="E222" s="15" t="s">
        <v>11</v>
      </c>
      <c r="H222" s="10"/>
      <c r="I222" s="10"/>
    </row>
    <row r="223" spans="1:9" x14ac:dyDescent="0.2">
      <c r="A223" s="10">
        <v>16100</v>
      </c>
      <c r="B223" s="11">
        <v>42087</v>
      </c>
      <c r="C223" s="12">
        <v>775</v>
      </c>
      <c r="D223" s="12">
        <v>59.07</v>
      </c>
      <c r="E223" s="15" t="s">
        <v>11</v>
      </c>
      <c r="H223" s="10"/>
      <c r="I223" s="10"/>
    </row>
    <row r="224" spans="1:9" x14ac:dyDescent="0.2">
      <c r="A224" s="10">
        <v>16101</v>
      </c>
      <c r="B224" s="11">
        <v>42087</v>
      </c>
      <c r="C224" s="12">
        <v>81.19</v>
      </c>
      <c r="D224" s="12">
        <v>6.19</v>
      </c>
      <c r="E224" s="15" t="s">
        <v>11</v>
      </c>
      <c r="H224" s="10"/>
      <c r="I224" s="10"/>
    </row>
    <row r="225" spans="1:9" x14ac:dyDescent="0.2">
      <c r="A225" s="10">
        <v>16102</v>
      </c>
      <c r="B225" s="11">
        <v>42087</v>
      </c>
      <c r="C225" s="12">
        <v>54.07</v>
      </c>
      <c r="D225" s="12">
        <v>4.12</v>
      </c>
      <c r="E225" s="17"/>
      <c r="H225" s="12"/>
      <c r="I225" s="10"/>
    </row>
    <row r="226" spans="1:9" x14ac:dyDescent="0.2">
      <c r="A226" s="10">
        <v>16103</v>
      </c>
      <c r="B226" s="11">
        <v>42087</v>
      </c>
      <c r="C226" s="12">
        <v>257.64</v>
      </c>
      <c r="D226" s="12">
        <v>19.64</v>
      </c>
      <c r="E226" s="15" t="s">
        <v>13</v>
      </c>
      <c r="H226" s="10"/>
      <c r="I226" s="10"/>
    </row>
    <row r="227" spans="1:9" x14ac:dyDescent="0.2">
      <c r="A227" s="10">
        <v>16104</v>
      </c>
      <c r="B227" s="11">
        <v>42087</v>
      </c>
      <c r="C227" s="12">
        <v>84.44</v>
      </c>
      <c r="D227" s="12">
        <v>6.44</v>
      </c>
      <c r="E227" s="17"/>
      <c r="F227" s="18"/>
      <c r="G227" s="19"/>
      <c r="H227" s="12"/>
      <c r="I227" s="10"/>
    </row>
    <row r="228" spans="1:9" x14ac:dyDescent="0.2">
      <c r="A228" s="10">
        <v>16105</v>
      </c>
      <c r="B228" s="11">
        <v>42087</v>
      </c>
      <c r="C228" s="12">
        <v>251.44</v>
      </c>
      <c r="D228" s="12">
        <v>11.54</v>
      </c>
      <c r="E228" s="17"/>
      <c r="H228" s="12"/>
      <c r="I228" s="10"/>
    </row>
    <row r="229" spans="1:9" x14ac:dyDescent="0.2">
      <c r="A229" s="10">
        <v>16106</v>
      </c>
      <c r="B229" s="11">
        <v>42087</v>
      </c>
      <c r="C229" s="12">
        <v>48.660000000000004</v>
      </c>
      <c r="D229" s="12">
        <v>3.71</v>
      </c>
      <c r="E229" s="15" t="s">
        <v>11</v>
      </c>
      <c r="H229" s="10"/>
      <c r="I229" s="10"/>
    </row>
    <row r="230" spans="1:9" x14ac:dyDescent="0.2">
      <c r="A230" s="10">
        <v>16107</v>
      </c>
      <c r="B230" s="11">
        <v>42087</v>
      </c>
      <c r="C230" s="12">
        <v>32.479999999999997</v>
      </c>
      <c r="D230" s="12">
        <v>2.48</v>
      </c>
      <c r="E230" s="15" t="s">
        <v>11</v>
      </c>
      <c r="H230" s="10"/>
      <c r="I230" s="10"/>
    </row>
    <row r="231" spans="1:9" x14ac:dyDescent="0.2">
      <c r="A231" s="10">
        <v>16108</v>
      </c>
      <c r="B231" s="11">
        <v>42087</v>
      </c>
      <c r="C231" s="12">
        <v>16</v>
      </c>
      <c r="D231" s="12"/>
      <c r="E231" s="15" t="s">
        <v>25</v>
      </c>
      <c r="H231" s="10"/>
      <c r="I231" s="10"/>
    </row>
    <row r="232" spans="1:9" x14ac:dyDescent="0.2">
      <c r="A232" s="10">
        <v>16109</v>
      </c>
      <c r="B232" s="11">
        <v>42087</v>
      </c>
      <c r="C232" s="12">
        <v>228.95</v>
      </c>
      <c r="D232" s="12">
        <v>17.45</v>
      </c>
      <c r="E232" s="15" t="s">
        <v>11</v>
      </c>
      <c r="F232" s="21"/>
      <c r="G232" s="22"/>
      <c r="H232" s="10"/>
      <c r="I232" s="10"/>
    </row>
    <row r="233" spans="1:9" x14ac:dyDescent="0.2">
      <c r="A233" s="10">
        <v>16110</v>
      </c>
      <c r="B233" s="11">
        <v>42087</v>
      </c>
      <c r="C233" s="12">
        <v>357.77</v>
      </c>
      <c r="D233" s="12">
        <v>27.27</v>
      </c>
      <c r="E233" s="15" t="s">
        <v>26</v>
      </c>
      <c r="H233" s="10"/>
      <c r="I233" s="10"/>
    </row>
    <row r="234" spans="1:9" x14ac:dyDescent="0.2">
      <c r="A234" s="10">
        <v>16111</v>
      </c>
      <c r="B234" s="11">
        <v>42087</v>
      </c>
      <c r="C234" s="18">
        <v>303.10000000000002</v>
      </c>
      <c r="D234" s="12">
        <v>23.1</v>
      </c>
      <c r="E234" s="15" t="s">
        <v>7</v>
      </c>
      <c r="F234" s="21"/>
      <c r="G234" s="22"/>
      <c r="H234" s="10"/>
      <c r="I234" s="10"/>
    </row>
    <row r="235" spans="1:9" x14ac:dyDescent="0.2">
      <c r="A235" s="10">
        <v>16112</v>
      </c>
      <c r="B235" s="11">
        <v>42087</v>
      </c>
      <c r="C235" s="18">
        <v>15.16</v>
      </c>
      <c r="D235" s="12">
        <v>1.1599999999999999</v>
      </c>
      <c r="E235" s="15" t="s">
        <v>11</v>
      </c>
      <c r="F235" s="33">
        <f>+C221+C223+C224+C229+172.12+C230+C234+C235+C226+240.8</f>
        <v>1938.0600000000002</v>
      </c>
      <c r="G235" s="34">
        <v>1908</v>
      </c>
      <c r="H235" s="10"/>
      <c r="I235" s="10"/>
    </row>
    <row r="236" spans="1:9" x14ac:dyDescent="0.2">
      <c r="A236" s="10">
        <v>16113</v>
      </c>
      <c r="B236" s="11">
        <v>42088</v>
      </c>
      <c r="C236" s="18">
        <v>10</v>
      </c>
      <c r="D236" s="12">
        <v>0.76</v>
      </c>
      <c r="E236" s="17"/>
      <c r="H236" s="12"/>
      <c r="I236" s="10"/>
    </row>
    <row r="237" spans="1:9" x14ac:dyDescent="0.2">
      <c r="A237" s="10">
        <v>16114</v>
      </c>
      <c r="B237" s="11">
        <v>42088</v>
      </c>
      <c r="C237" s="18">
        <v>48.71</v>
      </c>
      <c r="D237" s="12">
        <v>3.71</v>
      </c>
      <c r="E237" s="15" t="s">
        <v>11</v>
      </c>
      <c r="H237" s="10"/>
      <c r="I237" s="10"/>
    </row>
    <row r="238" spans="1:9" x14ac:dyDescent="0.2">
      <c r="A238" s="10">
        <v>16115</v>
      </c>
      <c r="B238" s="11">
        <v>42088</v>
      </c>
      <c r="C238" s="18">
        <v>20.57</v>
      </c>
      <c r="D238" s="12">
        <v>1.57</v>
      </c>
      <c r="E238" s="17"/>
      <c r="H238" s="12"/>
      <c r="I238" s="10"/>
    </row>
    <row r="239" spans="1:9" x14ac:dyDescent="0.2">
      <c r="A239" s="10">
        <v>16116</v>
      </c>
      <c r="B239" s="11">
        <v>42088</v>
      </c>
      <c r="C239" s="18">
        <v>256.01</v>
      </c>
      <c r="D239" s="12">
        <v>19.510000000000002</v>
      </c>
      <c r="E239" s="15" t="s">
        <v>7</v>
      </c>
      <c r="H239" s="10"/>
      <c r="I239" s="10"/>
    </row>
    <row r="240" spans="1:9" x14ac:dyDescent="0.2">
      <c r="A240" s="10">
        <v>16117</v>
      </c>
      <c r="B240" s="11">
        <v>42088</v>
      </c>
      <c r="C240" s="18">
        <v>20.57</v>
      </c>
      <c r="D240" s="12">
        <v>1.57</v>
      </c>
      <c r="E240" s="17"/>
      <c r="F240" s="18"/>
      <c r="G240" s="19"/>
      <c r="H240" s="12"/>
      <c r="I240" s="10"/>
    </row>
    <row r="241" spans="1:9" x14ac:dyDescent="0.2">
      <c r="A241" s="10">
        <v>16118</v>
      </c>
      <c r="B241" s="11">
        <v>42088</v>
      </c>
      <c r="C241" s="18">
        <v>30</v>
      </c>
      <c r="D241" s="12">
        <v>2.29</v>
      </c>
      <c r="E241" s="17"/>
      <c r="F241" s="18"/>
      <c r="G241" s="19"/>
      <c r="H241" s="12"/>
      <c r="I241" s="10"/>
    </row>
    <row r="242" spans="1:9" x14ac:dyDescent="0.2">
      <c r="A242" s="10">
        <v>16119</v>
      </c>
      <c r="B242" s="11">
        <v>42088</v>
      </c>
      <c r="C242" s="18">
        <v>113.66</v>
      </c>
      <c r="D242" s="12">
        <v>8.66</v>
      </c>
      <c r="E242" s="15" t="s">
        <v>7</v>
      </c>
      <c r="H242" s="10"/>
      <c r="I242" s="10"/>
    </row>
    <row r="243" spans="1:9" x14ac:dyDescent="0.2">
      <c r="A243" s="10">
        <v>16120</v>
      </c>
      <c r="B243" s="11">
        <v>42088</v>
      </c>
      <c r="C243" s="18">
        <v>14</v>
      </c>
      <c r="D243" s="12">
        <v>1.07</v>
      </c>
      <c r="E243" s="17"/>
      <c r="H243" s="12"/>
      <c r="I243" s="10"/>
    </row>
    <row r="244" spans="1:9" x14ac:dyDescent="0.2">
      <c r="A244" s="10">
        <v>16121</v>
      </c>
      <c r="B244" s="11">
        <v>42088</v>
      </c>
      <c r="C244" s="18">
        <v>160</v>
      </c>
      <c r="D244" s="12"/>
      <c r="E244" s="15" t="s">
        <v>8</v>
      </c>
      <c r="F244" s="21"/>
      <c r="G244" s="22"/>
      <c r="H244" s="10"/>
      <c r="I244" s="10"/>
    </row>
    <row r="245" spans="1:9" x14ac:dyDescent="0.2">
      <c r="A245" s="10">
        <v>16122</v>
      </c>
      <c r="B245" s="11">
        <v>42088</v>
      </c>
      <c r="C245" s="18">
        <v>144</v>
      </c>
      <c r="D245" s="12"/>
      <c r="E245" s="13" t="s">
        <v>281</v>
      </c>
      <c r="F245" s="18"/>
      <c r="G245" s="19"/>
      <c r="H245" s="12"/>
      <c r="I245" s="10"/>
    </row>
    <row r="246" spans="1:9" x14ac:dyDescent="0.2">
      <c r="A246" s="10">
        <v>16123</v>
      </c>
      <c r="B246" s="11">
        <v>42088</v>
      </c>
      <c r="C246" s="18">
        <v>82.27</v>
      </c>
      <c r="D246" s="12">
        <v>6.27</v>
      </c>
      <c r="E246" s="15" t="s">
        <v>11</v>
      </c>
      <c r="H246" s="10"/>
      <c r="I246" s="10"/>
    </row>
    <row r="247" spans="1:9" x14ac:dyDescent="0.2">
      <c r="A247" s="10">
        <v>16124</v>
      </c>
      <c r="B247" s="11">
        <v>42088</v>
      </c>
      <c r="C247" s="18">
        <v>5</v>
      </c>
      <c r="D247" s="12">
        <v>0.38</v>
      </c>
      <c r="E247" s="17"/>
      <c r="H247" s="12"/>
      <c r="I247" s="10"/>
    </row>
    <row r="248" spans="1:9" x14ac:dyDescent="0.2">
      <c r="A248" s="10">
        <v>16125</v>
      </c>
      <c r="B248" s="11">
        <v>42088</v>
      </c>
      <c r="C248" s="12">
        <v>15.16</v>
      </c>
      <c r="D248" s="12">
        <v>1.1599999999999999</v>
      </c>
      <c r="E248" s="15"/>
      <c r="H248" s="10"/>
      <c r="I248" s="10"/>
    </row>
    <row r="249" spans="1:9" x14ac:dyDescent="0.2">
      <c r="A249" s="10">
        <v>16126</v>
      </c>
      <c r="B249" s="11">
        <v>42088</v>
      </c>
      <c r="C249" s="12">
        <v>16.239999999999998</v>
      </c>
      <c r="D249" s="12">
        <v>1.24</v>
      </c>
      <c r="E249" s="17"/>
      <c r="H249" s="12"/>
      <c r="I249" s="10"/>
    </row>
    <row r="250" spans="1:9" x14ac:dyDescent="0.2">
      <c r="A250" s="10">
        <v>16127</v>
      </c>
      <c r="B250" s="11">
        <v>42088</v>
      </c>
      <c r="C250" s="12">
        <v>58.350000000000009</v>
      </c>
      <c r="D250" s="12">
        <v>4.45</v>
      </c>
      <c r="E250" s="15" t="s">
        <v>301</v>
      </c>
      <c r="F250" s="45">
        <f>+C237+C239+C242+40+C246</f>
        <v>540.65</v>
      </c>
      <c r="G250" s="123">
        <f>+F250*0.97831</f>
        <v>528.92330149999998</v>
      </c>
      <c r="H250" s="10"/>
      <c r="I250" s="10"/>
    </row>
    <row r="251" spans="1:9" x14ac:dyDescent="0.2">
      <c r="A251" s="10">
        <v>16128</v>
      </c>
      <c r="B251" s="11">
        <v>42089</v>
      </c>
      <c r="C251" s="12">
        <v>381.04</v>
      </c>
      <c r="D251" s="12">
        <v>29.04</v>
      </c>
      <c r="E251" s="15" t="s">
        <v>21</v>
      </c>
      <c r="H251" s="10"/>
      <c r="I251" s="10"/>
    </row>
    <row r="252" spans="1:9" x14ac:dyDescent="0.2">
      <c r="A252" s="10">
        <v>16129</v>
      </c>
      <c r="B252" s="11">
        <v>42089</v>
      </c>
      <c r="C252" s="12">
        <v>184</v>
      </c>
      <c r="D252" s="12"/>
      <c r="E252" s="13" t="s">
        <v>8</v>
      </c>
      <c r="H252" s="12"/>
      <c r="I252" s="10"/>
    </row>
    <row r="253" spans="1:9" x14ac:dyDescent="0.2">
      <c r="A253" s="10">
        <v>16130</v>
      </c>
      <c r="B253" s="11">
        <v>42089</v>
      </c>
      <c r="C253" s="12">
        <v>19.38</v>
      </c>
      <c r="D253" s="12">
        <v>1.48</v>
      </c>
      <c r="E253" s="15" t="s">
        <v>7</v>
      </c>
      <c r="F253" s="21"/>
      <c r="G253" s="22"/>
      <c r="H253" s="10"/>
      <c r="I253" s="10"/>
    </row>
    <row r="254" spans="1:9" x14ac:dyDescent="0.2">
      <c r="A254" s="10">
        <v>16131</v>
      </c>
      <c r="B254" s="11">
        <v>42089</v>
      </c>
      <c r="C254" s="12">
        <v>137.47999999999999</v>
      </c>
      <c r="D254" s="12">
        <v>10.48</v>
      </c>
      <c r="E254" s="17"/>
      <c r="F254" s="18"/>
      <c r="G254" s="19"/>
      <c r="H254" s="12"/>
      <c r="I254" s="10"/>
    </row>
    <row r="255" spans="1:9" x14ac:dyDescent="0.2">
      <c r="A255" s="10">
        <v>16132</v>
      </c>
      <c r="B255" s="11">
        <v>42089</v>
      </c>
      <c r="C255" s="12">
        <v>65.48</v>
      </c>
      <c r="D255" s="12"/>
      <c r="E255" s="13" t="s">
        <v>296</v>
      </c>
      <c r="F255" s="18"/>
      <c r="G255" s="19"/>
      <c r="H255" s="12"/>
      <c r="I255" s="10"/>
    </row>
    <row r="256" spans="1:9" x14ac:dyDescent="0.2">
      <c r="A256" s="10">
        <v>16133</v>
      </c>
      <c r="B256" s="11">
        <v>42089</v>
      </c>
      <c r="C256" s="12">
        <v>20</v>
      </c>
      <c r="D256" s="12"/>
      <c r="E256" s="13" t="s">
        <v>296</v>
      </c>
      <c r="H256" s="12"/>
      <c r="I256" s="10"/>
    </row>
    <row r="257" spans="1:9" x14ac:dyDescent="0.2">
      <c r="A257" s="10">
        <v>16134</v>
      </c>
      <c r="B257" s="11">
        <v>42089</v>
      </c>
      <c r="C257" s="12">
        <v>277.44</v>
      </c>
      <c r="D257" s="12">
        <v>21.14</v>
      </c>
      <c r="E257" s="15" t="s">
        <v>11</v>
      </c>
      <c r="H257" s="10"/>
      <c r="I257" s="10"/>
    </row>
    <row r="258" spans="1:9" x14ac:dyDescent="0.2">
      <c r="A258" s="10">
        <v>16135</v>
      </c>
      <c r="B258" s="11">
        <v>42089</v>
      </c>
      <c r="C258" s="12">
        <v>96.289999999999992</v>
      </c>
      <c r="D258" s="12"/>
      <c r="E258" s="15"/>
      <c r="H258" s="10"/>
      <c r="I258" s="10"/>
    </row>
    <row r="259" spans="1:9" x14ac:dyDescent="0.2">
      <c r="A259" s="10">
        <v>16136</v>
      </c>
      <c r="B259" s="11">
        <v>42089</v>
      </c>
      <c r="C259" s="12">
        <v>27.999999999999996</v>
      </c>
      <c r="D259" s="12">
        <v>2.13</v>
      </c>
      <c r="E259" s="13" t="s">
        <v>302</v>
      </c>
      <c r="F259" s="18"/>
      <c r="G259" s="19"/>
      <c r="H259" s="12"/>
      <c r="I259" s="10"/>
    </row>
    <row r="260" spans="1:9" x14ac:dyDescent="0.2">
      <c r="A260" s="10">
        <v>16137</v>
      </c>
      <c r="B260" s="11">
        <v>42089</v>
      </c>
      <c r="C260" s="12">
        <v>156</v>
      </c>
      <c r="D260" s="12"/>
      <c r="E260" s="15" t="s">
        <v>303</v>
      </c>
      <c r="H260" s="10"/>
      <c r="I260" s="10"/>
    </row>
    <row r="261" spans="1:9" x14ac:dyDescent="0.2">
      <c r="A261" s="10">
        <v>16138</v>
      </c>
      <c r="B261" s="11">
        <v>42089</v>
      </c>
      <c r="C261" s="12">
        <v>21.65</v>
      </c>
      <c r="D261" s="12">
        <v>1.65</v>
      </c>
      <c r="E261" s="17"/>
      <c r="F261" s="18"/>
      <c r="G261" s="19"/>
      <c r="H261" s="12"/>
      <c r="I261" s="10"/>
    </row>
    <row r="262" spans="1:9" x14ac:dyDescent="0.2">
      <c r="A262" s="10">
        <v>16139</v>
      </c>
      <c r="B262" s="11">
        <v>42089</v>
      </c>
      <c r="C262" s="12">
        <v>176.04</v>
      </c>
      <c r="D262" s="12">
        <v>21.04</v>
      </c>
      <c r="E262" s="15"/>
      <c r="F262" s="21"/>
      <c r="G262" s="22"/>
      <c r="H262" s="10"/>
      <c r="I262" s="10"/>
    </row>
    <row r="263" spans="1:9" x14ac:dyDescent="0.2">
      <c r="A263" s="10">
        <v>16140</v>
      </c>
      <c r="B263" s="11">
        <v>42089</v>
      </c>
      <c r="C263" s="12">
        <v>193.70999999999998</v>
      </c>
      <c r="D263" s="12">
        <v>14.76</v>
      </c>
      <c r="E263" s="13"/>
      <c r="F263" s="18"/>
      <c r="G263" s="19"/>
      <c r="H263" s="12"/>
      <c r="I263" s="10"/>
    </row>
    <row r="264" spans="1:9" x14ac:dyDescent="0.2">
      <c r="A264" s="10">
        <v>16141</v>
      </c>
      <c r="B264" s="11">
        <v>42089</v>
      </c>
      <c r="C264" s="12">
        <v>192.69</v>
      </c>
      <c r="D264" s="12">
        <v>14.69</v>
      </c>
      <c r="E264" s="15" t="s">
        <v>11</v>
      </c>
      <c r="H264" s="10"/>
      <c r="I264" s="10"/>
    </row>
    <row r="265" spans="1:9" x14ac:dyDescent="0.2">
      <c r="A265" s="10">
        <v>16142</v>
      </c>
      <c r="B265" s="11">
        <v>42089</v>
      </c>
      <c r="C265" s="12">
        <v>4.93</v>
      </c>
      <c r="D265" s="12"/>
      <c r="E265" s="13" t="s">
        <v>8</v>
      </c>
      <c r="H265" s="12"/>
      <c r="I265" s="10"/>
    </row>
    <row r="266" spans="1:9" x14ac:dyDescent="0.2">
      <c r="A266" s="10">
        <v>16143</v>
      </c>
      <c r="B266" s="11">
        <v>42089</v>
      </c>
      <c r="C266" s="12">
        <v>33.809999999999995</v>
      </c>
      <c r="D266" s="12">
        <v>2.58</v>
      </c>
      <c r="E266" s="17"/>
      <c r="F266" s="33">
        <f>+C253+C257+C264+13</f>
        <v>502.51</v>
      </c>
      <c r="G266" s="34">
        <v>493.65</v>
      </c>
      <c r="H266" s="12"/>
      <c r="I266" s="10"/>
    </row>
    <row r="267" spans="1:9" x14ac:dyDescent="0.2">
      <c r="A267" s="10">
        <v>16144</v>
      </c>
      <c r="B267" s="11">
        <v>42090</v>
      </c>
      <c r="C267" s="12">
        <v>164.54</v>
      </c>
      <c r="D267" s="12">
        <v>12.54</v>
      </c>
      <c r="E267" s="15" t="s">
        <v>7</v>
      </c>
      <c r="F267" s="21"/>
      <c r="G267" s="22"/>
      <c r="H267" s="10"/>
      <c r="I267" s="10"/>
    </row>
    <row r="268" spans="1:9" x14ac:dyDescent="0.2">
      <c r="A268" s="10">
        <v>16145</v>
      </c>
      <c r="B268" s="11">
        <v>42090</v>
      </c>
      <c r="C268" s="12">
        <v>11.91</v>
      </c>
      <c r="D268" s="12">
        <v>0.91</v>
      </c>
      <c r="E268" s="13"/>
      <c r="F268" s="18"/>
      <c r="G268" s="19"/>
      <c r="H268" s="12"/>
      <c r="I268" s="10"/>
    </row>
    <row r="269" spans="1:9" x14ac:dyDescent="0.2">
      <c r="A269" s="10">
        <v>16146</v>
      </c>
      <c r="B269" s="11">
        <v>42090</v>
      </c>
      <c r="C269" s="12">
        <v>25</v>
      </c>
      <c r="D269" s="12">
        <v>1.91</v>
      </c>
      <c r="E269" s="15" t="s">
        <v>7</v>
      </c>
      <c r="F269" s="21"/>
      <c r="G269" s="22"/>
      <c r="H269" s="10"/>
      <c r="I269" s="10"/>
    </row>
    <row r="270" spans="1:9" x14ac:dyDescent="0.2">
      <c r="A270" s="10">
        <v>16147</v>
      </c>
      <c r="B270" s="11">
        <v>42090</v>
      </c>
      <c r="C270" s="12">
        <v>21.599999999999998</v>
      </c>
      <c r="D270" s="12">
        <v>1.65</v>
      </c>
      <c r="E270" s="15" t="s">
        <v>11</v>
      </c>
      <c r="F270" s="21"/>
      <c r="G270" s="22"/>
      <c r="H270" s="10"/>
      <c r="I270" s="10"/>
    </row>
    <row r="271" spans="1:9" x14ac:dyDescent="0.2">
      <c r="A271" s="10">
        <v>16148</v>
      </c>
      <c r="B271" s="11">
        <v>42090</v>
      </c>
      <c r="C271" s="12">
        <v>102.84</v>
      </c>
      <c r="D271" s="12">
        <v>7.84</v>
      </c>
      <c r="E271" s="17"/>
      <c r="F271" s="18"/>
      <c r="G271" s="19"/>
      <c r="H271" s="12"/>
      <c r="I271" s="10"/>
    </row>
    <row r="272" spans="1:9" x14ac:dyDescent="0.2">
      <c r="A272" s="10">
        <v>16149</v>
      </c>
      <c r="B272" s="11">
        <v>42090</v>
      </c>
      <c r="C272" s="12">
        <v>6.5</v>
      </c>
      <c r="D272" s="12">
        <v>0.5</v>
      </c>
      <c r="E272" s="17"/>
      <c r="H272" s="12"/>
      <c r="I272" s="10"/>
    </row>
    <row r="273" spans="1:9" x14ac:dyDescent="0.2">
      <c r="A273" s="10">
        <v>16150</v>
      </c>
      <c r="B273" s="11">
        <v>42090</v>
      </c>
      <c r="C273" s="12">
        <v>109</v>
      </c>
      <c r="D273" s="12"/>
      <c r="E273" s="15" t="s">
        <v>304</v>
      </c>
      <c r="H273" s="10"/>
      <c r="I273" s="10"/>
    </row>
    <row r="274" spans="1:9" x14ac:dyDescent="0.2">
      <c r="A274" s="10">
        <v>16151</v>
      </c>
      <c r="B274" s="11">
        <v>42090</v>
      </c>
      <c r="C274" s="12">
        <v>48.71</v>
      </c>
      <c r="D274" s="12">
        <v>3.71</v>
      </c>
      <c r="E274" s="15" t="s">
        <v>13</v>
      </c>
      <c r="F274" s="21"/>
      <c r="G274" s="22"/>
      <c r="H274" s="10"/>
      <c r="I274" s="10"/>
    </row>
    <row r="275" spans="1:9" x14ac:dyDescent="0.2">
      <c r="A275" s="10">
        <v>16152</v>
      </c>
      <c r="B275" s="11">
        <v>42090</v>
      </c>
      <c r="C275" s="12">
        <v>60.62</v>
      </c>
      <c r="D275" s="12">
        <v>4.62</v>
      </c>
      <c r="E275" s="15" t="s">
        <v>11</v>
      </c>
      <c r="F275" s="21"/>
      <c r="G275" s="22"/>
      <c r="H275" s="10"/>
      <c r="I275" s="10"/>
    </row>
    <row r="276" spans="1:9" x14ac:dyDescent="0.2">
      <c r="A276" s="10">
        <v>16153</v>
      </c>
      <c r="B276" s="11">
        <v>42090</v>
      </c>
      <c r="C276" s="12">
        <v>175.37</v>
      </c>
      <c r="D276" s="12">
        <v>13.37</v>
      </c>
      <c r="E276" s="15" t="s">
        <v>11</v>
      </c>
      <c r="F276" s="21"/>
      <c r="G276" s="22"/>
      <c r="H276" s="10"/>
      <c r="I276" s="10"/>
    </row>
    <row r="277" spans="1:9" x14ac:dyDescent="0.2">
      <c r="A277" s="10">
        <v>16154</v>
      </c>
      <c r="B277" s="11">
        <v>42090</v>
      </c>
      <c r="C277" s="12">
        <v>20</v>
      </c>
      <c r="D277" s="12"/>
      <c r="E277" s="15" t="s">
        <v>11</v>
      </c>
      <c r="H277" s="10"/>
      <c r="I277" s="10"/>
    </row>
    <row r="278" spans="1:9" x14ac:dyDescent="0.2">
      <c r="A278" s="10">
        <v>16155</v>
      </c>
      <c r="B278" s="11">
        <v>42090</v>
      </c>
      <c r="C278" s="12">
        <v>11.91</v>
      </c>
      <c r="D278" s="12">
        <v>0.91</v>
      </c>
      <c r="E278" s="15" t="s">
        <v>7</v>
      </c>
      <c r="F278" s="124"/>
      <c r="G278" s="124"/>
      <c r="H278" s="10"/>
      <c r="I278" s="10"/>
    </row>
    <row r="279" spans="1:9" x14ac:dyDescent="0.2">
      <c r="A279" s="10">
        <v>16156</v>
      </c>
      <c r="B279" s="11">
        <v>42090</v>
      </c>
      <c r="C279" s="12">
        <v>32.99</v>
      </c>
      <c r="D279" s="12">
        <v>2.5099999999999998</v>
      </c>
      <c r="E279" s="15" t="s">
        <v>11</v>
      </c>
      <c r="H279" s="10"/>
      <c r="I279" s="10"/>
    </row>
    <row r="280" spans="1:9" x14ac:dyDescent="0.2">
      <c r="A280" s="10">
        <v>16157</v>
      </c>
      <c r="B280" s="11">
        <v>42090</v>
      </c>
      <c r="C280" s="12">
        <v>147</v>
      </c>
      <c r="D280" s="12">
        <v>11.2</v>
      </c>
      <c r="E280" s="15" t="s">
        <v>305</v>
      </c>
      <c r="F280" s="21"/>
      <c r="G280" s="22"/>
      <c r="H280" s="10"/>
      <c r="I280" s="10"/>
    </row>
    <row r="281" spans="1:9" x14ac:dyDescent="0.2">
      <c r="A281" s="10">
        <v>16158</v>
      </c>
      <c r="B281" s="11">
        <v>42090</v>
      </c>
      <c r="C281" s="12">
        <v>48.71</v>
      </c>
      <c r="D281" s="12">
        <v>3.71</v>
      </c>
      <c r="E281" s="15" t="s">
        <v>7</v>
      </c>
      <c r="H281" s="10"/>
      <c r="I281" s="10"/>
    </row>
    <row r="282" spans="1:9" x14ac:dyDescent="0.2">
      <c r="A282" s="10">
        <v>16159</v>
      </c>
      <c r="B282" s="11">
        <v>42090</v>
      </c>
      <c r="C282" s="12">
        <v>22</v>
      </c>
      <c r="D282" s="12"/>
      <c r="E282" s="15" t="s">
        <v>16</v>
      </c>
      <c r="F282" s="21"/>
      <c r="G282" s="22"/>
      <c r="H282" s="10"/>
      <c r="I282" s="10"/>
    </row>
    <row r="283" spans="1:9" x14ac:dyDescent="0.2">
      <c r="A283" s="10">
        <v>16160</v>
      </c>
      <c r="B283" s="11">
        <v>42090</v>
      </c>
      <c r="C283" s="12">
        <v>81</v>
      </c>
      <c r="D283" s="12"/>
      <c r="E283" s="15" t="s">
        <v>306</v>
      </c>
      <c r="H283" s="10"/>
      <c r="I283" s="10"/>
    </row>
    <row r="284" spans="1:9" x14ac:dyDescent="0.2">
      <c r="A284" s="10">
        <v>16161</v>
      </c>
      <c r="B284" s="11">
        <v>42090</v>
      </c>
      <c r="C284" s="12">
        <v>20</v>
      </c>
      <c r="D284" s="12"/>
      <c r="E284" s="15" t="s">
        <v>307</v>
      </c>
      <c r="F284" s="33">
        <f>270.63+C267+C269+C270+C274+C275+C276+C277+C278+C279+C281</f>
        <v>880.08</v>
      </c>
      <c r="G284" s="34">
        <v>862.38</v>
      </c>
      <c r="H284" s="10"/>
      <c r="I284" s="10"/>
    </row>
    <row r="285" spans="1:9" x14ac:dyDescent="0.2">
      <c r="A285" s="10">
        <v>16162</v>
      </c>
      <c r="B285" s="11">
        <v>42091</v>
      </c>
      <c r="C285" s="12">
        <v>245.61999999999998</v>
      </c>
      <c r="D285" s="12">
        <v>18.72</v>
      </c>
      <c r="E285" s="15" t="s">
        <v>11</v>
      </c>
      <c r="H285" s="10"/>
      <c r="I285" s="10"/>
    </row>
    <row r="286" spans="1:9" x14ac:dyDescent="0.2">
      <c r="A286" s="10">
        <v>16163</v>
      </c>
      <c r="B286" s="11">
        <v>42091</v>
      </c>
      <c r="C286" s="12">
        <v>49.8</v>
      </c>
      <c r="D286" s="12">
        <v>3.8</v>
      </c>
      <c r="E286" s="15" t="s">
        <v>11</v>
      </c>
      <c r="F286" s="21"/>
      <c r="G286" s="22"/>
      <c r="H286" s="10"/>
      <c r="I286" s="10"/>
    </row>
    <row r="287" spans="1:9" x14ac:dyDescent="0.2">
      <c r="A287" s="10">
        <v>16164</v>
      </c>
      <c r="B287" s="11">
        <v>42091</v>
      </c>
      <c r="C287" s="12">
        <v>289.02999999999997</v>
      </c>
      <c r="D287" s="12">
        <v>22.03</v>
      </c>
      <c r="E287" s="13"/>
      <c r="F287" s="18"/>
      <c r="G287" s="19"/>
      <c r="H287" s="12"/>
      <c r="I287" s="10"/>
    </row>
    <row r="288" spans="1:9" x14ac:dyDescent="0.2">
      <c r="A288" s="10">
        <v>16165</v>
      </c>
      <c r="B288" s="11">
        <v>42091</v>
      </c>
      <c r="C288" s="12">
        <v>124.49</v>
      </c>
      <c r="D288" s="12">
        <v>9.49</v>
      </c>
      <c r="E288" s="15" t="s">
        <v>11</v>
      </c>
      <c r="F288" s="21"/>
      <c r="G288" s="22"/>
      <c r="H288" s="10"/>
      <c r="I288" s="10"/>
    </row>
    <row r="289" spans="1:9" x14ac:dyDescent="0.2">
      <c r="A289" s="10">
        <v>16166</v>
      </c>
      <c r="B289" s="11">
        <v>42091</v>
      </c>
      <c r="C289" s="12">
        <v>549.91</v>
      </c>
      <c r="D289" s="12">
        <v>41.91</v>
      </c>
      <c r="E289" s="15" t="s">
        <v>7</v>
      </c>
      <c r="F289" s="21"/>
      <c r="G289" s="22"/>
      <c r="H289" s="10"/>
      <c r="I289" s="10"/>
    </row>
    <row r="290" spans="1:9" x14ac:dyDescent="0.2">
      <c r="A290" s="10">
        <v>16167</v>
      </c>
      <c r="B290" s="11">
        <v>42091</v>
      </c>
      <c r="C290" s="12">
        <v>14.559999999999999</v>
      </c>
      <c r="D290" s="12">
        <v>1.1100000000000001</v>
      </c>
      <c r="E290" s="17"/>
      <c r="H290" s="12"/>
      <c r="I290" s="10"/>
    </row>
    <row r="291" spans="1:9" x14ac:dyDescent="0.2">
      <c r="A291" s="10">
        <v>16168</v>
      </c>
      <c r="B291" s="11">
        <v>42091</v>
      </c>
      <c r="C291" s="12">
        <v>165.62</v>
      </c>
      <c r="D291" s="12">
        <v>12.62</v>
      </c>
      <c r="E291" s="17"/>
      <c r="H291" s="12"/>
      <c r="I291" s="10"/>
    </row>
    <row r="292" spans="1:9" x14ac:dyDescent="0.2">
      <c r="A292" s="10">
        <v>16169</v>
      </c>
      <c r="B292" s="11">
        <v>42091</v>
      </c>
      <c r="C292" s="12">
        <v>64.95</v>
      </c>
      <c r="D292" s="12">
        <v>4.95</v>
      </c>
      <c r="E292" s="17"/>
      <c r="F292" s="18"/>
      <c r="G292" s="19"/>
      <c r="H292" s="12"/>
      <c r="I292" s="10"/>
    </row>
    <row r="293" spans="1:9" x14ac:dyDescent="0.2">
      <c r="A293" s="10">
        <v>16170</v>
      </c>
      <c r="B293" s="11">
        <v>42091</v>
      </c>
      <c r="C293" s="12">
        <v>21.599999999999998</v>
      </c>
      <c r="D293" s="12">
        <v>1.65</v>
      </c>
      <c r="E293" s="15" t="s">
        <v>11</v>
      </c>
      <c r="F293" s="21"/>
      <c r="G293" s="22"/>
      <c r="H293" s="10"/>
      <c r="I293" s="10"/>
    </row>
    <row r="294" spans="1:9" x14ac:dyDescent="0.2">
      <c r="A294" s="10">
        <v>16171</v>
      </c>
      <c r="B294" s="11">
        <v>42091</v>
      </c>
      <c r="C294" s="12">
        <v>10</v>
      </c>
      <c r="D294" s="12">
        <v>0.76</v>
      </c>
      <c r="E294" s="13"/>
      <c r="F294" s="18"/>
      <c r="G294" s="19"/>
      <c r="H294" s="12"/>
      <c r="I294" s="10"/>
    </row>
    <row r="295" spans="1:9" x14ac:dyDescent="0.2">
      <c r="A295" s="10">
        <v>16172</v>
      </c>
      <c r="B295" s="11">
        <v>42091</v>
      </c>
      <c r="C295" s="12">
        <v>74.69</v>
      </c>
      <c r="D295" s="12">
        <v>5.69</v>
      </c>
      <c r="E295" s="15" t="s">
        <v>7</v>
      </c>
      <c r="F295" s="21"/>
      <c r="G295" s="22"/>
      <c r="H295" s="10"/>
      <c r="I295" s="10"/>
    </row>
    <row r="296" spans="1:9" x14ac:dyDescent="0.2">
      <c r="A296" s="10">
        <v>16173</v>
      </c>
      <c r="B296" s="11">
        <v>42091</v>
      </c>
      <c r="C296" s="12">
        <v>178.61</v>
      </c>
      <c r="D296" s="12">
        <v>13.61</v>
      </c>
      <c r="E296" s="17"/>
      <c r="H296" s="12"/>
      <c r="I296" s="10"/>
    </row>
    <row r="297" spans="1:9" x14ac:dyDescent="0.2">
      <c r="A297" s="10">
        <v>16174</v>
      </c>
      <c r="B297" s="11">
        <v>42091</v>
      </c>
      <c r="C297" s="12">
        <v>23.709999999999997</v>
      </c>
      <c r="D297" s="12">
        <v>1.81</v>
      </c>
      <c r="E297" s="15" t="s">
        <v>11</v>
      </c>
      <c r="F297" s="21"/>
      <c r="G297" s="22"/>
      <c r="H297" s="10"/>
      <c r="I297" s="10"/>
    </row>
    <row r="298" spans="1:9" x14ac:dyDescent="0.2">
      <c r="A298" s="10">
        <v>16175</v>
      </c>
      <c r="B298" s="11">
        <v>42091</v>
      </c>
      <c r="C298" s="12">
        <v>16.18</v>
      </c>
      <c r="D298" s="12">
        <v>1.23</v>
      </c>
      <c r="E298" s="15" t="s">
        <v>11</v>
      </c>
      <c r="F298" s="21"/>
      <c r="G298" s="22"/>
      <c r="H298" s="10"/>
      <c r="I298" s="10"/>
    </row>
    <row r="299" spans="1:9" x14ac:dyDescent="0.2">
      <c r="A299" s="10">
        <v>16176</v>
      </c>
      <c r="B299" s="11">
        <v>42091</v>
      </c>
      <c r="C299" s="12">
        <v>16.239999999999998</v>
      </c>
      <c r="D299" s="12">
        <v>1.24</v>
      </c>
      <c r="E299" s="15" t="s">
        <v>11</v>
      </c>
      <c r="F299" s="21"/>
      <c r="G299" s="22"/>
      <c r="H299" s="10"/>
      <c r="I299" s="10"/>
    </row>
    <row r="300" spans="1:9" x14ac:dyDescent="0.2">
      <c r="A300" s="10">
        <v>16177</v>
      </c>
      <c r="B300" s="11">
        <v>42091</v>
      </c>
      <c r="C300" s="12">
        <v>43.25</v>
      </c>
      <c r="D300" s="12">
        <v>3.3</v>
      </c>
      <c r="E300" s="17"/>
      <c r="H300" s="12"/>
      <c r="I300" s="10"/>
    </row>
    <row r="301" spans="1:9" x14ac:dyDescent="0.2">
      <c r="A301" s="10">
        <v>16178</v>
      </c>
      <c r="B301" s="11">
        <v>42091</v>
      </c>
      <c r="C301" s="12">
        <v>-11</v>
      </c>
      <c r="D301" s="12"/>
      <c r="E301" s="13" t="s">
        <v>77</v>
      </c>
      <c r="F301" s="33">
        <f>+C289+C288+C286+C293+C295+C297+C298+C299+C285</f>
        <v>1122.24</v>
      </c>
      <c r="G301" s="34">
        <v>1108.75</v>
      </c>
      <c r="H301" s="12"/>
      <c r="I301" s="10"/>
    </row>
    <row r="302" spans="1:9" x14ac:dyDescent="0.2">
      <c r="A302" s="10">
        <v>16179</v>
      </c>
      <c r="B302" s="11">
        <v>42093</v>
      </c>
      <c r="C302" s="12">
        <v>139.63999999999999</v>
      </c>
      <c r="D302" s="12">
        <v>10.64</v>
      </c>
      <c r="E302" s="15" t="s">
        <v>11</v>
      </c>
      <c r="H302" s="10"/>
      <c r="I302" s="10"/>
    </row>
    <row r="303" spans="1:9" x14ac:dyDescent="0.2">
      <c r="A303" s="10">
        <v>16180</v>
      </c>
      <c r="B303" s="11">
        <v>42093</v>
      </c>
      <c r="C303" s="12">
        <v>532.59</v>
      </c>
      <c r="D303" s="12">
        <v>40.590000000000003</v>
      </c>
      <c r="E303" s="15" t="s">
        <v>7</v>
      </c>
      <c r="H303" s="10"/>
      <c r="I303" s="10"/>
    </row>
    <row r="304" spans="1:9" x14ac:dyDescent="0.2">
      <c r="A304" s="10">
        <v>16181</v>
      </c>
      <c r="B304" s="11">
        <v>42093</v>
      </c>
      <c r="C304" s="12">
        <v>37.830000000000005</v>
      </c>
      <c r="D304" s="12">
        <v>2.88</v>
      </c>
      <c r="E304" s="17"/>
      <c r="F304" s="18"/>
      <c r="G304" s="19"/>
      <c r="H304" s="12"/>
      <c r="I304" s="10"/>
    </row>
    <row r="305" spans="1:9" x14ac:dyDescent="0.2">
      <c r="A305" s="10">
        <v>16182</v>
      </c>
      <c r="B305" s="11">
        <v>42093</v>
      </c>
      <c r="C305" s="12">
        <v>20</v>
      </c>
      <c r="D305" s="12">
        <v>1.52</v>
      </c>
      <c r="E305" s="17"/>
      <c r="F305" s="18"/>
      <c r="G305" s="19"/>
      <c r="H305" s="12"/>
      <c r="I305" s="10"/>
    </row>
    <row r="306" spans="1:9" x14ac:dyDescent="0.2">
      <c r="A306" s="10">
        <v>16183</v>
      </c>
      <c r="B306" s="11">
        <v>42093</v>
      </c>
      <c r="C306" s="12">
        <v>226.24</v>
      </c>
      <c r="D306" s="12">
        <v>17.239999999999998</v>
      </c>
      <c r="E306" s="17"/>
      <c r="H306" s="12"/>
      <c r="I306" s="10"/>
    </row>
    <row r="307" spans="1:9" x14ac:dyDescent="0.2">
      <c r="A307" s="10">
        <v>16184</v>
      </c>
      <c r="B307" s="11">
        <v>42093</v>
      </c>
      <c r="C307" s="12">
        <v>125.57</v>
      </c>
      <c r="D307" s="12">
        <v>9.57</v>
      </c>
      <c r="E307" s="15" t="s">
        <v>11</v>
      </c>
      <c r="F307" s="21"/>
      <c r="G307" s="22"/>
      <c r="H307" s="10"/>
      <c r="I307" s="10"/>
    </row>
    <row r="308" spans="1:9" x14ac:dyDescent="0.2">
      <c r="A308" s="10">
        <v>16185</v>
      </c>
      <c r="B308" s="11">
        <v>42093</v>
      </c>
      <c r="C308" s="12">
        <v>42.6</v>
      </c>
      <c r="D308" s="12">
        <v>3.25</v>
      </c>
      <c r="E308" s="15" t="s">
        <v>11</v>
      </c>
      <c r="F308" s="21"/>
      <c r="G308" s="22"/>
      <c r="H308" s="10"/>
      <c r="I308" s="10"/>
    </row>
    <row r="309" spans="1:9" x14ac:dyDescent="0.2">
      <c r="A309" s="10">
        <v>16186</v>
      </c>
      <c r="B309" s="11">
        <v>42093</v>
      </c>
      <c r="C309" s="12">
        <v>45</v>
      </c>
      <c r="D309" s="12"/>
      <c r="E309" s="15" t="s">
        <v>17</v>
      </c>
      <c r="F309" s="21"/>
      <c r="G309" s="22"/>
      <c r="H309" s="10"/>
      <c r="I309" s="10"/>
    </row>
    <row r="310" spans="1:9" x14ac:dyDescent="0.2">
      <c r="A310" s="10">
        <v>16187</v>
      </c>
      <c r="B310" s="11">
        <v>42093</v>
      </c>
      <c r="C310" s="12">
        <v>10.83</v>
      </c>
      <c r="D310" s="12">
        <v>0.83</v>
      </c>
      <c r="E310" s="15" t="s">
        <v>7</v>
      </c>
      <c r="H310" s="10"/>
      <c r="I310" s="10"/>
    </row>
    <row r="311" spans="1:9" x14ac:dyDescent="0.2">
      <c r="A311" s="10">
        <v>16188</v>
      </c>
      <c r="B311" s="11">
        <v>42093</v>
      </c>
      <c r="C311" s="12">
        <v>235.44</v>
      </c>
      <c r="D311" s="12">
        <v>17.940000000000001</v>
      </c>
      <c r="E311" s="15"/>
      <c r="H311" s="10"/>
      <c r="I311" s="10"/>
    </row>
    <row r="312" spans="1:9" x14ac:dyDescent="0.2">
      <c r="A312" s="10">
        <v>16189</v>
      </c>
      <c r="B312" s="11">
        <v>42093</v>
      </c>
      <c r="C312" s="12">
        <v>246.32000000000002</v>
      </c>
      <c r="D312" s="12">
        <v>18.77</v>
      </c>
      <c r="E312" s="15" t="s">
        <v>11</v>
      </c>
      <c r="F312" s="33">
        <f>+C302+C303+80+C308+C309+C310+C312</f>
        <v>1096.98</v>
      </c>
      <c r="G312" s="34">
        <v>1074.76</v>
      </c>
      <c r="H312" s="10"/>
      <c r="I312" s="10"/>
    </row>
    <row r="313" spans="1:9" x14ac:dyDescent="0.2">
      <c r="A313" s="10">
        <v>16190</v>
      </c>
      <c r="B313" s="11">
        <v>42094</v>
      </c>
      <c r="C313" s="12">
        <v>74.69</v>
      </c>
      <c r="D313" s="12">
        <v>5.69</v>
      </c>
      <c r="E313" s="17"/>
      <c r="H313" s="12"/>
      <c r="I313" s="10"/>
    </row>
    <row r="314" spans="1:9" x14ac:dyDescent="0.2">
      <c r="A314" s="10">
        <v>16191</v>
      </c>
      <c r="B314" s="11">
        <v>42094</v>
      </c>
      <c r="C314" s="12">
        <v>2.7</v>
      </c>
      <c r="D314" s="12">
        <v>0.21</v>
      </c>
      <c r="E314" s="17"/>
      <c r="H314" s="12"/>
      <c r="I314" s="10"/>
    </row>
    <row r="315" spans="1:9" x14ac:dyDescent="0.2">
      <c r="A315" s="10">
        <v>16192</v>
      </c>
      <c r="B315" s="11">
        <v>42094</v>
      </c>
      <c r="C315" s="12">
        <v>0</v>
      </c>
      <c r="D315" s="12">
        <v>0</v>
      </c>
      <c r="E315" s="15" t="s">
        <v>308</v>
      </c>
      <c r="F315" s="21"/>
      <c r="G315" s="22"/>
      <c r="H315" s="10"/>
      <c r="I315" s="10"/>
    </row>
    <row r="316" spans="1:9" x14ac:dyDescent="0.2">
      <c r="A316" s="10">
        <v>16193</v>
      </c>
      <c r="B316" s="11">
        <v>42094</v>
      </c>
      <c r="C316" s="12">
        <v>0</v>
      </c>
      <c r="D316" s="12">
        <v>0</v>
      </c>
      <c r="E316" s="15" t="s">
        <v>308</v>
      </c>
      <c r="F316" s="21"/>
      <c r="G316" s="22"/>
      <c r="H316" s="10"/>
      <c r="I316" s="10"/>
    </row>
    <row r="317" spans="1:9" x14ac:dyDescent="0.2">
      <c r="A317" s="10">
        <v>16194</v>
      </c>
      <c r="B317" s="11">
        <v>42094</v>
      </c>
      <c r="C317" s="12">
        <v>216.5</v>
      </c>
      <c r="D317" s="12">
        <v>16.5</v>
      </c>
      <c r="E317" s="15" t="s">
        <v>11</v>
      </c>
      <c r="H317" s="10"/>
      <c r="I317" s="10"/>
    </row>
    <row r="318" spans="1:9" x14ac:dyDescent="0.2">
      <c r="A318" s="10">
        <v>16195</v>
      </c>
      <c r="B318" s="11">
        <v>42094</v>
      </c>
      <c r="C318" s="12">
        <v>43.25</v>
      </c>
      <c r="D318" s="12">
        <v>3.3</v>
      </c>
      <c r="E318" s="17"/>
      <c r="F318" s="18"/>
      <c r="G318" s="19"/>
      <c r="H318" s="12"/>
      <c r="I318" s="10"/>
    </row>
    <row r="319" spans="1:9" x14ac:dyDescent="0.2">
      <c r="A319" s="10">
        <v>16196</v>
      </c>
      <c r="B319" s="11">
        <v>42094</v>
      </c>
      <c r="C319" s="12">
        <v>6</v>
      </c>
      <c r="D319" s="12">
        <v>0.46</v>
      </c>
      <c r="E319" s="17"/>
      <c r="F319" s="18"/>
      <c r="G319" s="19"/>
      <c r="H319" s="12"/>
      <c r="I319" s="10"/>
    </row>
    <row r="320" spans="1:9" x14ac:dyDescent="0.2">
      <c r="A320" s="10">
        <v>16197</v>
      </c>
      <c r="B320" s="11">
        <v>42094</v>
      </c>
      <c r="C320" s="12">
        <v>21.599999999999998</v>
      </c>
      <c r="D320" s="12">
        <v>1.65</v>
      </c>
      <c r="E320" s="17"/>
      <c r="F320" s="18"/>
      <c r="G320" s="19"/>
      <c r="H320" s="12"/>
      <c r="I320" s="10"/>
    </row>
    <row r="321" spans="1:13" x14ac:dyDescent="0.2">
      <c r="A321" s="10">
        <v>16198</v>
      </c>
      <c r="B321" s="11">
        <v>42094</v>
      </c>
      <c r="C321" s="12">
        <v>-48.71</v>
      </c>
      <c r="D321" s="12">
        <v>-3.71</v>
      </c>
      <c r="E321" s="15" t="s">
        <v>11</v>
      </c>
      <c r="F321" s="21"/>
      <c r="G321" s="22"/>
      <c r="H321" s="10"/>
      <c r="I321" s="10"/>
    </row>
    <row r="322" spans="1:13" x14ac:dyDescent="0.2">
      <c r="A322" s="10">
        <v>16199</v>
      </c>
      <c r="B322" s="11">
        <v>42094</v>
      </c>
      <c r="C322" s="12">
        <v>21.599999999999998</v>
      </c>
      <c r="D322" s="12">
        <v>1.65</v>
      </c>
      <c r="E322" s="15" t="s">
        <v>11</v>
      </c>
      <c r="H322" s="10"/>
      <c r="I322" s="10"/>
    </row>
    <row r="323" spans="1:13" x14ac:dyDescent="0.2">
      <c r="A323" s="10">
        <v>16200</v>
      </c>
      <c r="B323" s="11">
        <v>42094</v>
      </c>
      <c r="C323" s="12">
        <v>58.46</v>
      </c>
      <c r="D323" s="12">
        <v>4.46</v>
      </c>
      <c r="E323" s="17"/>
      <c r="H323" s="12"/>
      <c r="I323" s="10"/>
    </row>
    <row r="324" spans="1:13" x14ac:dyDescent="0.2">
      <c r="A324" s="10">
        <v>16201</v>
      </c>
      <c r="B324" s="11">
        <v>42094</v>
      </c>
      <c r="C324" s="12">
        <v>21.599999999999998</v>
      </c>
      <c r="D324" s="12">
        <v>1.65</v>
      </c>
      <c r="E324" s="17"/>
      <c r="F324" s="18"/>
      <c r="G324" s="19"/>
      <c r="H324" s="12"/>
      <c r="I324" s="10"/>
    </row>
    <row r="325" spans="1:13" x14ac:dyDescent="0.2">
      <c r="A325" s="10">
        <v>16202</v>
      </c>
      <c r="B325" s="11">
        <v>42094</v>
      </c>
      <c r="C325" s="12">
        <v>345.32</v>
      </c>
      <c r="D325" s="12">
        <v>26.32</v>
      </c>
      <c r="E325" s="15" t="s">
        <v>11</v>
      </c>
      <c r="H325" s="10"/>
      <c r="I325" s="10"/>
    </row>
    <row r="326" spans="1:13" x14ac:dyDescent="0.2">
      <c r="A326" s="10">
        <v>16203</v>
      </c>
      <c r="B326" s="11">
        <v>42094</v>
      </c>
      <c r="C326" s="12">
        <v>160.47</v>
      </c>
      <c r="D326" s="12">
        <v>12.23</v>
      </c>
      <c r="E326" s="23"/>
      <c r="H326" s="10"/>
      <c r="I326" s="10"/>
    </row>
    <row r="327" spans="1:13" x14ac:dyDescent="0.2">
      <c r="A327" s="10">
        <v>16204</v>
      </c>
      <c r="B327" s="11">
        <v>42094</v>
      </c>
      <c r="C327" s="12">
        <v>227.32999999999998</v>
      </c>
      <c r="D327" s="12">
        <v>17.329999999999998</v>
      </c>
      <c r="E327" s="15" t="s">
        <v>11</v>
      </c>
      <c r="H327" s="10"/>
      <c r="I327" s="10"/>
    </row>
    <row r="328" spans="1:13" x14ac:dyDescent="0.2">
      <c r="A328" s="10">
        <v>16205</v>
      </c>
      <c r="B328" s="11">
        <v>42094</v>
      </c>
      <c r="C328" s="12">
        <v>85.52</v>
      </c>
      <c r="D328" s="12">
        <v>6.52</v>
      </c>
      <c r="E328" s="15" t="s">
        <v>7</v>
      </c>
      <c r="H328" s="10"/>
      <c r="I328" s="10"/>
    </row>
    <row r="329" spans="1:13" x14ac:dyDescent="0.2">
      <c r="A329" s="10">
        <v>16206</v>
      </c>
      <c r="B329" s="11">
        <v>42094</v>
      </c>
      <c r="C329" s="12">
        <v>219.75</v>
      </c>
      <c r="D329" s="12">
        <v>16.75</v>
      </c>
      <c r="E329" s="15" t="s">
        <v>11</v>
      </c>
      <c r="H329" s="10"/>
      <c r="I329" s="10"/>
    </row>
    <row r="330" spans="1:13" x14ac:dyDescent="0.2">
      <c r="A330" s="10">
        <v>16207</v>
      </c>
      <c r="B330" s="11">
        <v>42094</v>
      </c>
      <c r="C330" s="12">
        <v>38.92</v>
      </c>
      <c r="D330" s="12">
        <v>2.97</v>
      </c>
      <c r="E330" s="15" t="s">
        <v>11</v>
      </c>
      <c r="H330" s="10"/>
      <c r="I330" s="10"/>
    </row>
    <row r="331" spans="1:13" x14ac:dyDescent="0.2">
      <c r="A331" s="10">
        <v>16208</v>
      </c>
      <c r="B331" s="11">
        <v>42094</v>
      </c>
      <c r="C331" s="12">
        <v>11.93</v>
      </c>
      <c r="D331" s="12"/>
      <c r="E331" s="13" t="s">
        <v>8</v>
      </c>
      <c r="F331" s="33">
        <f>+C321+C322+140+C328+C317+C329+C325+52.42+C330</f>
        <v>1071.3200000000002</v>
      </c>
      <c r="G331" s="34">
        <v>1057.98</v>
      </c>
      <c r="H331" s="12"/>
      <c r="I331" s="10"/>
    </row>
    <row r="332" spans="1:13" x14ac:dyDescent="0.2">
      <c r="A332" s="10"/>
      <c r="B332" s="10"/>
      <c r="C332" s="10"/>
      <c r="D332" s="10"/>
      <c r="E332" s="15"/>
      <c r="F332" s="42"/>
      <c r="G332" s="19"/>
      <c r="H332" s="125"/>
      <c r="I332" s="10"/>
      <c r="M332" s="126"/>
    </row>
    <row r="333" spans="1:13" x14ac:dyDescent="0.2">
      <c r="E333" s="26"/>
      <c r="F333" s="46"/>
      <c r="H333" s="127"/>
      <c r="I333" s="119"/>
      <c r="J333" s="120"/>
      <c r="K333" s="98"/>
      <c r="L333" s="122"/>
      <c r="M333" s="126"/>
    </row>
    <row r="334" spans="1:13" x14ac:dyDescent="0.2">
      <c r="E334" s="26"/>
      <c r="H334" s="125"/>
      <c r="I334" s="119"/>
      <c r="J334" s="120"/>
      <c r="K334" s="98"/>
      <c r="L334" s="122"/>
      <c r="M334" s="126"/>
    </row>
    <row r="335" spans="1:13" x14ac:dyDescent="0.2">
      <c r="E335" s="26"/>
      <c r="H335" s="125"/>
      <c r="I335" s="119"/>
      <c r="J335" s="120"/>
      <c r="K335" s="98"/>
      <c r="L335" s="122"/>
      <c r="M335" s="126"/>
    </row>
    <row r="336" spans="1:13" x14ac:dyDescent="0.2">
      <c r="E336" s="26"/>
      <c r="H336" s="127"/>
      <c r="I336" s="119"/>
      <c r="J336" s="120"/>
      <c r="K336" s="98"/>
      <c r="L336" s="122"/>
      <c r="M336" s="126"/>
    </row>
    <row r="337" spans="5:13" x14ac:dyDescent="0.2">
      <c r="E337" s="26"/>
      <c r="H337" s="127"/>
      <c r="I337" s="119"/>
      <c r="J337" s="120"/>
      <c r="K337" s="98"/>
      <c r="L337" s="122"/>
      <c r="M337" s="126"/>
    </row>
    <row r="338" spans="5:13" x14ac:dyDescent="0.2">
      <c r="E338" s="26"/>
      <c r="H338" s="125"/>
      <c r="I338" s="119"/>
      <c r="J338" s="120"/>
      <c r="K338" s="98"/>
      <c r="L338" s="122"/>
      <c r="M338" s="126"/>
    </row>
    <row r="339" spans="5:13" x14ac:dyDescent="0.2">
      <c r="E339" s="26"/>
      <c r="H339" s="127"/>
      <c r="I339" s="119"/>
      <c r="J339" s="120"/>
      <c r="K339" s="120"/>
      <c r="L339" s="122"/>
      <c r="M339" s="126"/>
    </row>
    <row r="340" spans="5:13" x14ac:dyDescent="0.2">
      <c r="E340" s="26"/>
      <c r="H340" s="127"/>
      <c r="I340" s="119"/>
      <c r="J340" s="120"/>
      <c r="K340" s="98"/>
      <c r="L340" s="122"/>
      <c r="M340" s="126"/>
    </row>
    <row r="341" spans="5:13" x14ac:dyDescent="0.2">
      <c r="E341" s="26"/>
      <c r="H341" s="127"/>
      <c r="I341" s="119"/>
      <c r="J341" s="120"/>
      <c r="K341" s="98"/>
      <c r="L341" s="122"/>
      <c r="M341" s="126"/>
    </row>
    <row r="342" spans="5:13" x14ac:dyDescent="0.2">
      <c r="E342" s="26"/>
      <c r="H342" s="127"/>
      <c r="I342" s="119"/>
      <c r="J342" s="120"/>
      <c r="K342" s="98"/>
      <c r="L342" s="122"/>
      <c r="M342" s="126"/>
    </row>
    <row r="343" spans="5:13" x14ac:dyDescent="0.2">
      <c r="E343" s="26"/>
      <c r="H343" s="127"/>
      <c r="I343" s="119"/>
      <c r="J343" s="120"/>
      <c r="K343" s="98"/>
      <c r="L343" s="122"/>
      <c r="M343" s="126"/>
    </row>
    <row r="344" spans="5:13" x14ac:dyDescent="0.2">
      <c r="E344" s="26"/>
      <c r="H344" s="127"/>
      <c r="I344" s="119"/>
      <c r="J344" s="120"/>
      <c r="K344" s="98"/>
      <c r="L344" s="122"/>
      <c r="M344" s="126"/>
    </row>
    <row r="345" spans="5:13" x14ac:dyDescent="0.2">
      <c r="E345" s="26"/>
      <c r="H345" s="110"/>
      <c r="I345" s="119"/>
      <c r="J345" s="120"/>
      <c r="K345" s="98"/>
      <c r="L345" s="122"/>
      <c r="M345" s="126"/>
    </row>
    <row r="346" spans="5:13" x14ac:dyDescent="0.2">
      <c r="E346" s="26"/>
      <c r="H346" s="110"/>
      <c r="I346" s="119"/>
      <c r="J346" s="120"/>
      <c r="K346" s="120"/>
      <c r="L346" s="122"/>
      <c r="M346" s="126"/>
    </row>
    <row r="347" spans="5:13" x14ac:dyDescent="0.2">
      <c r="E347" s="26"/>
      <c r="H347" s="110"/>
      <c r="I347" s="98"/>
      <c r="J347" s="98"/>
      <c r="K347" s="98"/>
      <c r="L347" s="98"/>
      <c r="M347" s="126"/>
    </row>
    <row r="348" spans="5:13" x14ac:dyDescent="0.2">
      <c r="E348" s="26"/>
      <c r="H348" s="110"/>
      <c r="I348" s="98"/>
      <c r="J348" s="98"/>
      <c r="K348" s="98"/>
      <c r="L348" s="98"/>
      <c r="M348" s="126"/>
    </row>
    <row r="349" spans="5:13" x14ac:dyDescent="0.2">
      <c r="E349" s="26"/>
      <c r="I349" s="98"/>
      <c r="J349" s="98"/>
      <c r="K349" s="98"/>
      <c r="L349" s="98"/>
    </row>
    <row r="350" spans="5:13" x14ac:dyDescent="0.2">
      <c r="E350" s="26"/>
      <c r="I350" s="98"/>
      <c r="J350" s="98"/>
      <c r="K350" s="98"/>
      <c r="L350" s="98"/>
    </row>
    <row r="351" spans="5:13" x14ac:dyDescent="0.2">
      <c r="E351" s="26"/>
      <c r="I351" s="98"/>
      <c r="J351" s="98"/>
      <c r="K351" s="98"/>
      <c r="L351" s="98"/>
    </row>
    <row r="352" spans="5:13" x14ac:dyDescent="0.2">
      <c r="E352" s="26"/>
      <c r="I352" s="98"/>
      <c r="J352" s="98"/>
      <c r="K352" s="98"/>
      <c r="L352" s="98"/>
    </row>
    <row r="353" spans="1:12" x14ac:dyDescent="0.2">
      <c r="E353" s="26"/>
      <c r="I353" s="98"/>
      <c r="J353" s="98"/>
      <c r="K353" s="98"/>
      <c r="L353" s="98"/>
    </row>
    <row r="354" spans="1:12" x14ac:dyDescent="0.2">
      <c r="E354" s="26"/>
    </row>
    <row r="355" spans="1:12" x14ac:dyDescent="0.2">
      <c r="E355" s="26"/>
    </row>
    <row r="356" spans="1:12" x14ac:dyDescent="0.2">
      <c r="E356" s="26"/>
    </row>
    <row r="357" spans="1:12" x14ac:dyDescent="0.2">
      <c r="E357" s="26"/>
    </row>
    <row r="358" spans="1:12" x14ac:dyDescent="0.2">
      <c r="E358" s="26"/>
    </row>
    <row r="359" spans="1:12" x14ac:dyDescent="0.2">
      <c r="E359" s="26"/>
    </row>
    <row r="360" spans="1:12" x14ac:dyDescent="0.2">
      <c r="E360" s="26"/>
    </row>
    <row r="361" spans="1:12" x14ac:dyDescent="0.2">
      <c r="E361" s="26"/>
    </row>
    <row r="362" spans="1:12" x14ac:dyDescent="0.2">
      <c r="E362" s="26"/>
    </row>
    <row r="363" spans="1:12" x14ac:dyDescent="0.2">
      <c r="E363" s="26"/>
    </row>
    <row r="364" spans="1:12" x14ac:dyDescent="0.2">
      <c r="E364" s="26"/>
    </row>
    <row r="365" spans="1:12" s="29" customFormat="1" x14ac:dyDescent="0.2">
      <c r="A365" s="4"/>
      <c r="B365" s="11"/>
      <c r="C365" s="25"/>
      <c r="D365" s="4"/>
      <c r="E365" s="26"/>
      <c r="F365" s="4"/>
      <c r="G365" s="4"/>
      <c r="H365" s="25"/>
      <c r="I365" s="4"/>
      <c r="J365" s="4"/>
    </row>
    <row r="366" spans="1:12" s="29" customFormat="1" x14ac:dyDescent="0.2">
      <c r="A366" s="4"/>
      <c r="B366" s="11"/>
      <c r="C366" s="25"/>
      <c r="D366" s="4"/>
      <c r="E366" s="26"/>
      <c r="F366" s="4"/>
      <c r="G366" s="4"/>
      <c r="H366" s="25"/>
      <c r="I366" s="4"/>
      <c r="J366" s="4"/>
    </row>
    <row r="367" spans="1:12" x14ac:dyDescent="0.2">
      <c r="E367" s="26"/>
    </row>
    <row r="368" spans="1:12" x14ac:dyDescent="0.2">
      <c r="E368" s="26"/>
    </row>
    <row r="369" spans="1:10" x14ac:dyDescent="0.2">
      <c r="E369" s="26"/>
    </row>
    <row r="370" spans="1:10" x14ac:dyDescent="0.2">
      <c r="A370" s="29"/>
      <c r="B370" s="30"/>
      <c r="C370" s="31"/>
      <c r="D370" s="29"/>
      <c r="E370" s="32"/>
      <c r="F370" s="29"/>
      <c r="G370" s="29"/>
      <c r="H370" s="31"/>
      <c r="I370" s="29"/>
      <c r="J370" s="29"/>
    </row>
    <row r="371" spans="1:10" x14ac:dyDescent="0.2">
      <c r="A371" s="29"/>
      <c r="B371" s="30"/>
      <c r="C371" s="31"/>
      <c r="D371" s="29"/>
      <c r="E371" s="32"/>
      <c r="F371" s="29"/>
      <c r="G371" s="29"/>
      <c r="H371" s="31"/>
      <c r="I371" s="29"/>
      <c r="J371" s="29"/>
    </row>
    <row r="372" spans="1:10" x14ac:dyDescent="0.2">
      <c r="E372" s="26"/>
    </row>
    <row r="373" spans="1:10" x14ac:dyDescent="0.2">
      <c r="E373" s="26"/>
    </row>
    <row r="374" spans="1:10" x14ac:dyDescent="0.2">
      <c r="E374" s="26"/>
    </row>
    <row r="375" spans="1:10" x14ac:dyDescent="0.2">
      <c r="E375" s="26"/>
    </row>
    <row r="376" spans="1:10" x14ac:dyDescent="0.2">
      <c r="E376" s="26"/>
    </row>
    <row r="377" spans="1:10" x14ac:dyDescent="0.2">
      <c r="E377" s="26"/>
    </row>
    <row r="378" spans="1:10" x14ac:dyDescent="0.2">
      <c r="E378" s="26"/>
    </row>
    <row r="379" spans="1:10" x14ac:dyDescent="0.2">
      <c r="E379" s="26"/>
    </row>
    <row r="380" spans="1:10" x14ac:dyDescent="0.2">
      <c r="E380" s="26"/>
    </row>
    <row r="381" spans="1:10" x14ac:dyDescent="0.2">
      <c r="E381" s="26"/>
    </row>
    <row r="382" spans="1:10" x14ac:dyDescent="0.2">
      <c r="E382" s="26"/>
    </row>
    <row r="383" spans="1:10" x14ac:dyDescent="0.2">
      <c r="E383" s="26"/>
    </row>
    <row r="384" spans="1:10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  <row r="3289" spans="5:5" x14ac:dyDescent="0.2">
      <c r="E3289" s="26"/>
    </row>
    <row r="3290" spans="5:5" x14ac:dyDescent="0.2">
      <c r="E3290" s="26"/>
    </row>
    <row r="3291" spans="5:5" x14ac:dyDescent="0.2">
      <c r="E3291" s="26"/>
    </row>
    <row r="3292" spans="5:5" x14ac:dyDescent="0.2">
      <c r="E3292" s="26"/>
    </row>
    <row r="3293" spans="5:5" x14ac:dyDescent="0.2">
      <c r="E3293" s="26"/>
    </row>
    <row r="3294" spans="5:5" x14ac:dyDescent="0.2">
      <c r="E3294" s="26"/>
    </row>
    <row r="3295" spans="5:5" x14ac:dyDescent="0.2">
      <c r="E3295" s="26"/>
    </row>
    <row r="3296" spans="5:5" x14ac:dyDescent="0.2">
      <c r="E3296" s="26"/>
    </row>
    <row r="3297" spans="5:5" x14ac:dyDescent="0.2">
      <c r="E3297" s="26"/>
    </row>
    <row r="3298" spans="5:5" x14ac:dyDescent="0.2">
      <c r="E3298" s="26"/>
    </row>
    <row r="3299" spans="5:5" x14ac:dyDescent="0.2">
      <c r="E3299" s="26"/>
    </row>
    <row r="3300" spans="5:5" x14ac:dyDescent="0.2">
      <c r="E3300" s="26"/>
    </row>
    <row r="3301" spans="5:5" x14ac:dyDescent="0.2">
      <c r="E3301" s="26"/>
    </row>
    <row r="3302" spans="5:5" x14ac:dyDescent="0.2">
      <c r="E3302" s="26"/>
    </row>
    <row r="3303" spans="5:5" x14ac:dyDescent="0.2">
      <c r="E3303" s="26"/>
    </row>
    <row r="3304" spans="5:5" x14ac:dyDescent="0.2">
      <c r="E3304" s="26"/>
    </row>
    <row r="3305" spans="5:5" x14ac:dyDescent="0.2">
      <c r="E3305" s="26"/>
    </row>
    <row r="3306" spans="5:5" x14ac:dyDescent="0.2">
      <c r="E3306" s="26"/>
    </row>
    <row r="3307" spans="5:5" x14ac:dyDescent="0.2">
      <c r="E3307" s="26"/>
    </row>
    <row r="3308" spans="5:5" x14ac:dyDescent="0.2">
      <c r="E3308" s="26"/>
    </row>
    <row r="3309" spans="5:5" x14ac:dyDescent="0.2">
      <c r="E3309" s="26"/>
    </row>
    <row r="3310" spans="5:5" x14ac:dyDescent="0.2">
      <c r="E3310" s="26"/>
    </row>
    <row r="3311" spans="5:5" x14ac:dyDescent="0.2">
      <c r="E3311" s="26"/>
    </row>
    <row r="3312" spans="5:5" x14ac:dyDescent="0.2">
      <c r="E3312" s="26"/>
    </row>
    <row r="3313" spans="5:5" x14ac:dyDescent="0.2">
      <c r="E3313" s="26"/>
    </row>
    <row r="3314" spans="5:5" x14ac:dyDescent="0.2">
      <c r="E3314" s="26"/>
    </row>
    <row r="3315" spans="5:5" x14ac:dyDescent="0.2">
      <c r="E3315" s="26"/>
    </row>
    <row r="3316" spans="5:5" x14ac:dyDescent="0.2">
      <c r="E3316" s="26"/>
    </row>
    <row r="3317" spans="5:5" x14ac:dyDescent="0.2">
      <c r="E3317" s="26"/>
    </row>
    <row r="3318" spans="5:5" x14ac:dyDescent="0.2">
      <c r="E3318" s="26"/>
    </row>
    <row r="3319" spans="5:5" x14ac:dyDescent="0.2">
      <c r="E3319" s="26"/>
    </row>
    <row r="3320" spans="5:5" x14ac:dyDescent="0.2">
      <c r="E3320" s="26"/>
    </row>
    <row r="3321" spans="5:5" x14ac:dyDescent="0.2">
      <c r="E3321" s="26"/>
    </row>
    <row r="3322" spans="5:5" x14ac:dyDescent="0.2">
      <c r="E3322" s="26"/>
    </row>
    <row r="3323" spans="5:5" x14ac:dyDescent="0.2">
      <c r="E3323" s="26"/>
    </row>
    <row r="3324" spans="5:5" x14ac:dyDescent="0.2">
      <c r="E3324" s="26"/>
    </row>
    <row r="3325" spans="5:5" x14ac:dyDescent="0.2">
      <c r="E3325" s="26"/>
    </row>
    <row r="3326" spans="5:5" x14ac:dyDescent="0.2">
      <c r="E3326" s="26"/>
    </row>
    <row r="3327" spans="5:5" x14ac:dyDescent="0.2">
      <c r="E3327" s="26"/>
    </row>
    <row r="3328" spans="5:5" x14ac:dyDescent="0.2">
      <c r="E3328" s="26"/>
    </row>
    <row r="3329" spans="5:5" x14ac:dyDescent="0.2">
      <c r="E3329" s="26"/>
    </row>
    <row r="3330" spans="5:5" x14ac:dyDescent="0.2">
      <c r="E3330" s="26"/>
    </row>
    <row r="3331" spans="5:5" x14ac:dyDescent="0.2">
      <c r="E3331" s="26"/>
    </row>
    <row r="3332" spans="5:5" x14ac:dyDescent="0.2">
      <c r="E3332" s="26"/>
    </row>
    <row r="3333" spans="5:5" x14ac:dyDescent="0.2">
      <c r="E3333" s="26"/>
    </row>
    <row r="3334" spans="5:5" x14ac:dyDescent="0.2">
      <c r="E3334" s="26"/>
    </row>
    <row r="3335" spans="5:5" x14ac:dyDescent="0.2">
      <c r="E3335" s="26"/>
    </row>
    <row r="3336" spans="5:5" x14ac:dyDescent="0.2">
      <c r="E3336" s="26"/>
    </row>
    <row r="3337" spans="5:5" x14ac:dyDescent="0.2">
      <c r="E3337" s="26"/>
    </row>
    <row r="3338" spans="5:5" x14ac:dyDescent="0.2">
      <c r="E3338" s="26"/>
    </row>
    <row r="3339" spans="5:5" x14ac:dyDescent="0.2">
      <c r="E3339" s="26"/>
    </row>
    <row r="3340" spans="5:5" x14ac:dyDescent="0.2">
      <c r="E3340" s="26"/>
    </row>
    <row r="3341" spans="5:5" x14ac:dyDescent="0.2">
      <c r="E3341" s="26"/>
    </row>
    <row r="3342" spans="5:5" x14ac:dyDescent="0.2">
      <c r="E3342" s="26"/>
    </row>
    <row r="3343" spans="5:5" x14ac:dyDescent="0.2">
      <c r="E3343" s="26"/>
    </row>
    <row r="3344" spans="5:5" x14ac:dyDescent="0.2">
      <c r="E3344" s="26"/>
    </row>
    <row r="3345" spans="5:5" x14ac:dyDescent="0.2">
      <c r="E3345" s="26"/>
    </row>
    <row r="3346" spans="5:5" x14ac:dyDescent="0.2">
      <c r="E3346" s="26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3323"/>
  <sheetViews>
    <sheetView topLeftCell="A261" workbookViewId="0">
      <selection activeCell="A306" sqref="A306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/>
      <c r="D1" s="3"/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15576</v>
      </c>
      <c r="B3" s="11">
        <v>42037</v>
      </c>
      <c r="C3" s="12">
        <v>64.95</v>
      </c>
      <c r="D3" s="12">
        <v>4.95</v>
      </c>
      <c r="E3" s="15" t="s">
        <v>133</v>
      </c>
      <c r="H3" s="10"/>
      <c r="I3" s="10"/>
    </row>
    <row r="4" spans="1:10" x14ac:dyDescent="0.2">
      <c r="A4" s="10">
        <v>15577</v>
      </c>
      <c r="B4" s="11">
        <v>42037</v>
      </c>
      <c r="C4" s="12">
        <v>92</v>
      </c>
      <c r="D4" s="12"/>
      <c r="E4" s="17"/>
      <c r="F4" s="18"/>
      <c r="G4" s="19"/>
      <c r="H4" s="12"/>
      <c r="I4" s="10"/>
    </row>
    <row r="5" spans="1:10" x14ac:dyDescent="0.2">
      <c r="A5" s="10">
        <v>15578</v>
      </c>
      <c r="B5" s="11">
        <v>42037</v>
      </c>
      <c r="C5" s="12">
        <v>246.27</v>
      </c>
      <c r="D5" s="12">
        <v>18.77</v>
      </c>
      <c r="E5" s="15" t="s">
        <v>11</v>
      </c>
      <c r="F5" s="21"/>
      <c r="G5" s="22"/>
      <c r="H5" s="10"/>
      <c r="I5" s="10"/>
    </row>
    <row r="6" spans="1:10" x14ac:dyDescent="0.2">
      <c r="A6" s="10">
        <v>15579</v>
      </c>
      <c r="B6" s="11">
        <v>42037</v>
      </c>
      <c r="C6" s="12">
        <v>10.77</v>
      </c>
      <c r="D6" s="12">
        <v>0.82</v>
      </c>
      <c r="E6" s="17"/>
      <c r="F6" s="18"/>
      <c r="G6" s="19"/>
      <c r="H6" s="12"/>
      <c r="I6" s="10"/>
    </row>
    <row r="7" spans="1:10" x14ac:dyDescent="0.2">
      <c r="A7" s="10">
        <v>15580</v>
      </c>
      <c r="B7" s="11">
        <v>42037</v>
      </c>
      <c r="C7" s="12">
        <v>923.91</v>
      </c>
      <c r="D7" s="12">
        <v>70.41</v>
      </c>
      <c r="E7" s="13" t="s">
        <v>250</v>
      </c>
      <c r="F7" s="18"/>
      <c r="G7" s="19"/>
      <c r="H7" s="12"/>
      <c r="I7" s="10"/>
    </row>
    <row r="8" spans="1:10" x14ac:dyDescent="0.2">
      <c r="A8" s="10">
        <v>15581</v>
      </c>
      <c r="B8" s="11">
        <v>42037</v>
      </c>
      <c r="C8" s="12">
        <v>52</v>
      </c>
      <c r="D8" s="12"/>
      <c r="E8" s="13" t="s">
        <v>235</v>
      </c>
      <c r="H8" s="12"/>
      <c r="I8" s="10"/>
    </row>
    <row r="9" spans="1:10" x14ac:dyDescent="0.2">
      <c r="A9" s="10">
        <v>15582</v>
      </c>
      <c r="B9" s="11">
        <v>42037</v>
      </c>
      <c r="C9" s="12">
        <v>100</v>
      </c>
      <c r="D9" s="12"/>
      <c r="E9" s="13" t="s">
        <v>235</v>
      </c>
      <c r="F9" s="18"/>
      <c r="G9" s="19"/>
      <c r="H9" s="12"/>
      <c r="I9" s="10"/>
    </row>
    <row r="10" spans="1:10" x14ac:dyDescent="0.2">
      <c r="A10" s="10">
        <v>15583</v>
      </c>
      <c r="B10" s="11">
        <v>42037</v>
      </c>
      <c r="C10" s="12">
        <v>9.5</v>
      </c>
      <c r="D10" s="12"/>
      <c r="E10" s="13" t="s">
        <v>235</v>
      </c>
      <c r="H10" s="12"/>
      <c r="I10" s="10"/>
    </row>
    <row r="11" spans="1:10" x14ac:dyDescent="0.2">
      <c r="A11" s="10">
        <v>15584</v>
      </c>
      <c r="B11" s="11">
        <v>42037</v>
      </c>
      <c r="C11" s="12">
        <v>202.36999999999998</v>
      </c>
      <c r="D11" s="12">
        <v>15.42</v>
      </c>
      <c r="E11" s="15"/>
      <c r="F11" s="33">
        <f>+C5</f>
        <v>246.27</v>
      </c>
      <c r="G11" s="34">
        <v>242.75</v>
      </c>
      <c r="H11" s="10"/>
      <c r="I11" s="10"/>
    </row>
    <row r="12" spans="1:10" x14ac:dyDescent="0.2">
      <c r="A12" s="10">
        <v>15585</v>
      </c>
      <c r="B12" s="11">
        <v>42038</v>
      </c>
      <c r="C12" s="12">
        <v>8</v>
      </c>
      <c r="D12" s="12">
        <v>0.61</v>
      </c>
      <c r="E12" s="17"/>
      <c r="F12" s="18"/>
      <c r="G12" s="19"/>
      <c r="H12" s="12"/>
      <c r="I12" s="10"/>
    </row>
    <row r="13" spans="1:10" x14ac:dyDescent="0.2">
      <c r="A13" s="10">
        <v>15586</v>
      </c>
      <c r="B13" s="11">
        <v>42038</v>
      </c>
      <c r="C13" s="12">
        <v>1018</v>
      </c>
      <c r="D13" s="12"/>
      <c r="E13" s="15" t="s">
        <v>53</v>
      </c>
      <c r="F13" s="21"/>
      <c r="G13" s="22"/>
      <c r="H13" s="10"/>
      <c r="I13" s="10"/>
    </row>
    <row r="14" spans="1:10" x14ac:dyDescent="0.2">
      <c r="A14" s="10">
        <v>15587</v>
      </c>
      <c r="B14" s="11">
        <v>42038</v>
      </c>
      <c r="C14" s="12">
        <v>396</v>
      </c>
      <c r="D14" s="12"/>
      <c r="E14" s="15" t="s">
        <v>53</v>
      </c>
      <c r="H14" s="10"/>
      <c r="I14" s="10"/>
    </row>
    <row r="15" spans="1:10" x14ac:dyDescent="0.2">
      <c r="A15" s="10">
        <v>15588</v>
      </c>
      <c r="B15" s="11">
        <v>42038</v>
      </c>
      <c r="C15" s="12">
        <v>40</v>
      </c>
      <c r="D15" s="12">
        <v>3.05</v>
      </c>
      <c r="E15" s="17"/>
      <c r="F15" s="18"/>
      <c r="G15" s="19"/>
      <c r="H15" s="12"/>
      <c r="I15" s="10"/>
    </row>
    <row r="16" spans="1:10" x14ac:dyDescent="0.2">
      <c r="A16" s="10">
        <v>15589</v>
      </c>
      <c r="B16" s="11">
        <v>42038</v>
      </c>
      <c r="C16" s="12">
        <v>175.91</v>
      </c>
      <c r="D16" s="12">
        <v>13.41</v>
      </c>
      <c r="E16" s="15"/>
      <c r="H16" s="10"/>
      <c r="I16" s="10"/>
    </row>
    <row r="17" spans="1:9" x14ac:dyDescent="0.2">
      <c r="A17" s="10">
        <v>15590</v>
      </c>
      <c r="B17" s="11">
        <v>42038</v>
      </c>
      <c r="C17" s="12">
        <v>69.28</v>
      </c>
      <c r="D17" s="12">
        <v>5.28</v>
      </c>
      <c r="E17" s="15" t="s">
        <v>251</v>
      </c>
      <c r="F17" s="33">
        <f>+C11+102.84+57.37</f>
        <v>362.58</v>
      </c>
      <c r="G17" s="34">
        <v>359.33</v>
      </c>
      <c r="H17" s="10"/>
      <c r="I17" s="10"/>
    </row>
    <row r="18" spans="1:9" x14ac:dyDescent="0.2">
      <c r="A18" s="10">
        <v>15591</v>
      </c>
      <c r="B18" s="11">
        <v>42039</v>
      </c>
      <c r="C18" s="12">
        <v>101.7</v>
      </c>
      <c r="D18" s="12">
        <v>7.75</v>
      </c>
      <c r="E18" s="15" t="s">
        <v>7</v>
      </c>
      <c r="H18" s="10"/>
      <c r="I18" s="10"/>
    </row>
    <row r="19" spans="1:9" x14ac:dyDescent="0.2">
      <c r="A19" s="10">
        <v>15592</v>
      </c>
      <c r="B19" s="11">
        <v>42039</v>
      </c>
      <c r="C19" s="12">
        <v>68</v>
      </c>
      <c r="D19" s="12"/>
      <c r="E19" s="15" t="s">
        <v>21</v>
      </c>
      <c r="H19" s="10"/>
      <c r="I19" s="10"/>
    </row>
    <row r="20" spans="1:9" x14ac:dyDescent="0.2">
      <c r="A20" s="10">
        <v>15593</v>
      </c>
      <c r="B20" s="11">
        <v>42039</v>
      </c>
      <c r="C20" s="12">
        <v>13.5</v>
      </c>
      <c r="D20" s="12">
        <v>1.03</v>
      </c>
      <c r="E20" s="17"/>
      <c r="H20" s="12"/>
      <c r="I20" s="10"/>
    </row>
    <row r="21" spans="1:9" x14ac:dyDescent="0.2">
      <c r="A21" s="10">
        <v>15594</v>
      </c>
      <c r="B21" s="11">
        <v>42039</v>
      </c>
      <c r="C21" s="12">
        <v>49.690000000000005</v>
      </c>
      <c r="D21" s="12">
        <v>3.79</v>
      </c>
      <c r="E21" s="15" t="s">
        <v>11</v>
      </c>
      <c r="F21" s="21"/>
      <c r="G21" s="22"/>
      <c r="H21" s="10"/>
      <c r="I21" s="10"/>
    </row>
    <row r="22" spans="1:9" x14ac:dyDescent="0.2">
      <c r="A22" s="10">
        <v>15595</v>
      </c>
      <c r="B22" s="11">
        <v>42039</v>
      </c>
      <c r="C22" s="12">
        <v>14.02</v>
      </c>
      <c r="D22" s="12">
        <v>1.07</v>
      </c>
      <c r="E22" s="15" t="s">
        <v>11</v>
      </c>
      <c r="H22" s="10"/>
      <c r="I22" s="10"/>
    </row>
    <row r="23" spans="1:9" x14ac:dyDescent="0.2">
      <c r="A23" s="10">
        <v>15596</v>
      </c>
      <c r="B23" s="11">
        <v>42039</v>
      </c>
      <c r="C23" s="12">
        <v>85.52</v>
      </c>
      <c r="D23" s="12">
        <v>6.52</v>
      </c>
      <c r="E23" s="15" t="s">
        <v>11</v>
      </c>
      <c r="H23" s="10"/>
      <c r="I23" s="10"/>
    </row>
    <row r="24" spans="1:9" x14ac:dyDescent="0.2">
      <c r="A24" s="10">
        <v>15597</v>
      </c>
      <c r="B24" s="11">
        <v>42039</v>
      </c>
      <c r="C24" s="12">
        <v>162.38</v>
      </c>
      <c r="D24" s="12">
        <v>12.38</v>
      </c>
      <c r="E24" s="15" t="s">
        <v>13</v>
      </c>
      <c r="H24" s="10"/>
      <c r="I24" s="10"/>
    </row>
    <row r="25" spans="1:9" x14ac:dyDescent="0.2">
      <c r="A25" s="10">
        <v>15598</v>
      </c>
      <c r="B25" s="11">
        <v>42039</v>
      </c>
      <c r="C25" s="12">
        <v>134.22999999999999</v>
      </c>
      <c r="D25" s="12">
        <v>10.23</v>
      </c>
      <c r="E25" s="15" t="s">
        <v>11</v>
      </c>
      <c r="H25" s="10"/>
      <c r="I25" s="10"/>
    </row>
    <row r="26" spans="1:9" x14ac:dyDescent="0.2">
      <c r="A26" s="10">
        <v>15599</v>
      </c>
      <c r="B26" s="11">
        <v>42039</v>
      </c>
      <c r="C26" s="12">
        <v>168.87</v>
      </c>
      <c r="D26" s="12">
        <v>12.87</v>
      </c>
      <c r="E26" s="15" t="s">
        <v>7</v>
      </c>
      <c r="H26" s="10"/>
      <c r="I26" s="10"/>
    </row>
    <row r="27" spans="1:9" x14ac:dyDescent="0.2">
      <c r="A27" s="10">
        <v>15600</v>
      </c>
      <c r="B27" s="11">
        <v>42039</v>
      </c>
      <c r="C27" s="12">
        <v>332.33</v>
      </c>
      <c r="D27" s="12">
        <v>25.33</v>
      </c>
      <c r="E27" s="15" t="s">
        <v>11</v>
      </c>
      <c r="H27" s="10"/>
      <c r="I27" s="10"/>
    </row>
    <row r="28" spans="1:9" x14ac:dyDescent="0.2">
      <c r="A28" s="10">
        <v>15601</v>
      </c>
      <c r="B28" s="11">
        <v>42039</v>
      </c>
      <c r="C28" s="12">
        <v>17.27</v>
      </c>
      <c r="D28" s="12">
        <v>1.32</v>
      </c>
      <c r="E28" s="15" t="s">
        <v>13</v>
      </c>
      <c r="H28" s="10"/>
      <c r="I28" s="10"/>
    </row>
    <row r="29" spans="1:9" x14ac:dyDescent="0.2">
      <c r="A29" s="10">
        <v>15602</v>
      </c>
      <c r="B29" s="11">
        <v>42039</v>
      </c>
      <c r="C29" s="12">
        <v>139</v>
      </c>
      <c r="D29" s="12">
        <v>10.59</v>
      </c>
      <c r="E29" s="17"/>
      <c r="F29" s="18"/>
      <c r="G29" s="19"/>
      <c r="H29" s="12"/>
      <c r="I29" s="10"/>
    </row>
    <row r="30" spans="1:9" x14ac:dyDescent="0.2">
      <c r="A30" s="10">
        <v>15603</v>
      </c>
      <c r="B30" s="11">
        <v>42039</v>
      </c>
      <c r="C30" s="12">
        <v>449</v>
      </c>
      <c r="D30" s="12">
        <v>34.22</v>
      </c>
      <c r="E30" s="13" t="s">
        <v>252</v>
      </c>
      <c r="H30" s="12"/>
      <c r="I30" s="10"/>
    </row>
    <row r="31" spans="1:9" x14ac:dyDescent="0.2">
      <c r="A31" s="10">
        <v>15604</v>
      </c>
      <c r="B31" s="11">
        <v>42039</v>
      </c>
      <c r="C31" s="12">
        <v>300</v>
      </c>
      <c r="D31" s="12">
        <v>22.86</v>
      </c>
      <c r="E31" s="17"/>
      <c r="F31" s="33">
        <f>+C18+C21+C22+C23+C25+C27+C26+C28+C24</f>
        <v>1066.01</v>
      </c>
      <c r="G31" s="34">
        <v>1046.5999999999999</v>
      </c>
      <c r="H31" s="12"/>
      <c r="I31" s="10"/>
    </row>
    <row r="32" spans="1:9" x14ac:dyDescent="0.2">
      <c r="A32" s="10">
        <v>15605</v>
      </c>
      <c r="B32" s="11">
        <v>42040</v>
      </c>
      <c r="C32" s="12">
        <v>71.45</v>
      </c>
      <c r="D32" s="12">
        <v>5.45</v>
      </c>
      <c r="E32" s="17"/>
      <c r="H32" s="12"/>
      <c r="I32" s="10"/>
    </row>
    <row r="33" spans="1:9" x14ac:dyDescent="0.2">
      <c r="A33" s="10">
        <v>15606</v>
      </c>
      <c r="B33" s="11">
        <v>42040</v>
      </c>
      <c r="C33" s="12">
        <v>200.8</v>
      </c>
      <c r="D33" s="12">
        <v>15.3</v>
      </c>
      <c r="E33" s="17"/>
      <c r="H33" s="12"/>
      <c r="I33" s="10"/>
    </row>
    <row r="34" spans="1:9" x14ac:dyDescent="0.2">
      <c r="A34" s="10">
        <v>15607</v>
      </c>
      <c r="B34" s="11">
        <v>42040</v>
      </c>
      <c r="C34" s="12">
        <v>15.1</v>
      </c>
      <c r="D34" s="12">
        <v>1.1499999999999999</v>
      </c>
      <c r="E34" s="15" t="s">
        <v>11</v>
      </c>
      <c r="H34" s="10"/>
      <c r="I34" s="10"/>
    </row>
    <row r="35" spans="1:9" x14ac:dyDescent="0.2">
      <c r="A35" s="10">
        <v>15608</v>
      </c>
      <c r="B35" s="11">
        <v>42040</v>
      </c>
      <c r="C35" s="12">
        <v>9.74</v>
      </c>
      <c r="D35" s="12">
        <v>0.74</v>
      </c>
      <c r="E35" s="17"/>
      <c r="H35" s="12"/>
      <c r="I35" s="10"/>
    </row>
    <row r="36" spans="1:9" x14ac:dyDescent="0.2">
      <c r="A36" s="10">
        <v>15609</v>
      </c>
      <c r="B36" s="11">
        <v>42040</v>
      </c>
      <c r="C36" s="12">
        <v>16.239999999999998</v>
      </c>
      <c r="D36" s="12">
        <v>1.24</v>
      </c>
      <c r="E36" s="15" t="s">
        <v>11</v>
      </c>
      <c r="H36" s="10"/>
      <c r="I36" s="10"/>
    </row>
    <row r="37" spans="1:9" x14ac:dyDescent="0.2">
      <c r="A37" s="10">
        <v>15610</v>
      </c>
      <c r="B37" s="11">
        <v>42040</v>
      </c>
      <c r="C37" s="12">
        <v>16.239999999999998</v>
      </c>
      <c r="D37" s="12">
        <v>1.24</v>
      </c>
      <c r="E37" s="15" t="s">
        <v>7</v>
      </c>
      <c r="F37" s="21"/>
      <c r="G37" s="22"/>
      <c r="H37" s="10"/>
      <c r="I37" s="10"/>
    </row>
    <row r="38" spans="1:9" x14ac:dyDescent="0.2">
      <c r="A38" s="10">
        <v>15611</v>
      </c>
      <c r="B38" s="11">
        <v>42040</v>
      </c>
      <c r="C38" s="12">
        <v>4.4000000000000004</v>
      </c>
      <c r="D38" s="12"/>
      <c r="E38" s="15" t="s">
        <v>21</v>
      </c>
      <c r="H38" s="10"/>
      <c r="I38" s="10"/>
    </row>
    <row r="39" spans="1:9" x14ac:dyDescent="0.2">
      <c r="A39" s="10">
        <v>15612</v>
      </c>
      <c r="B39" s="11">
        <v>42040</v>
      </c>
      <c r="C39" s="12">
        <v>32.479999999999997</v>
      </c>
      <c r="D39" s="12">
        <v>2.48</v>
      </c>
      <c r="E39" s="15" t="s">
        <v>7</v>
      </c>
      <c r="H39" s="10"/>
      <c r="I39" s="10"/>
    </row>
    <row r="40" spans="1:9" x14ac:dyDescent="0.2">
      <c r="A40" s="10">
        <v>15613</v>
      </c>
      <c r="B40" s="11">
        <v>42040</v>
      </c>
      <c r="C40" s="12">
        <v>21.65</v>
      </c>
      <c r="D40" s="12">
        <v>1.65</v>
      </c>
      <c r="E40" s="17"/>
      <c r="F40" s="18"/>
      <c r="G40" s="19"/>
      <c r="H40" s="12"/>
      <c r="I40" s="10"/>
    </row>
    <row r="41" spans="1:9" x14ac:dyDescent="0.2">
      <c r="A41" s="10">
        <v>15614</v>
      </c>
      <c r="B41" s="11">
        <v>42040</v>
      </c>
      <c r="C41" s="12">
        <v>12.99</v>
      </c>
      <c r="D41" s="12">
        <v>0.99</v>
      </c>
      <c r="E41" s="17"/>
      <c r="F41" s="18"/>
      <c r="G41" s="19"/>
      <c r="H41" s="12"/>
      <c r="I41" s="10"/>
    </row>
    <row r="42" spans="1:9" x14ac:dyDescent="0.2">
      <c r="A42" s="10">
        <v>15615</v>
      </c>
      <c r="B42" s="11">
        <v>42040</v>
      </c>
      <c r="C42" s="12">
        <v>154.80000000000001</v>
      </c>
      <c r="D42" s="12"/>
      <c r="E42" s="13" t="s">
        <v>253</v>
      </c>
      <c r="H42" s="12"/>
      <c r="I42" s="10"/>
    </row>
    <row r="43" spans="1:9" x14ac:dyDescent="0.2">
      <c r="A43" s="10">
        <v>15616</v>
      </c>
      <c r="B43" s="11">
        <v>42040</v>
      </c>
      <c r="C43" s="12">
        <v>0</v>
      </c>
      <c r="D43" s="12"/>
      <c r="E43" s="13" t="s">
        <v>253</v>
      </c>
      <c r="H43" s="12"/>
      <c r="I43" s="10"/>
    </row>
    <row r="44" spans="1:9" x14ac:dyDescent="0.2">
      <c r="A44" s="10">
        <v>15617</v>
      </c>
      <c r="B44" s="11">
        <v>42040</v>
      </c>
      <c r="C44" s="12">
        <v>108.25</v>
      </c>
      <c r="D44" s="12">
        <v>8.25</v>
      </c>
      <c r="E44" s="15" t="s">
        <v>21</v>
      </c>
      <c r="F44" s="33">
        <f>130.8+C34+C36+C37+C39</f>
        <v>210.86</v>
      </c>
      <c r="G44" s="34">
        <v>207.18</v>
      </c>
      <c r="H44" s="10"/>
      <c r="I44" s="10"/>
    </row>
    <row r="45" spans="1:9" x14ac:dyDescent="0.2">
      <c r="A45" s="10">
        <v>15618</v>
      </c>
      <c r="B45" s="11">
        <v>42041</v>
      </c>
      <c r="C45" s="12">
        <v>14.02</v>
      </c>
      <c r="D45" s="12">
        <v>1.07</v>
      </c>
      <c r="E45" s="17"/>
      <c r="H45" s="12"/>
      <c r="I45" s="10"/>
    </row>
    <row r="46" spans="1:9" x14ac:dyDescent="0.2">
      <c r="A46" s="10">
        <v>15619</v>
      </c>
      <c r="B46" s="11">
        <v>42041</v>
      </c>
      <c r="C46" s="12">
        <v>216.5</v>
      </c>
      <c r="D46" s="12">
        <v>16.5</v>
      </c>
      <c r="E46" s="15" t="s">
        <v>13</v>
      </c>
      <c r="F46" s="21"/>
      <c r="G46" s="22"/>
      <c r="H46" s="10"/>
      <c r="I46" s="10"/>
    </row>
    <row r="47" spans="1:9" x14ac:dyDescent="0.2">
      <c r="A47" s="10">
        <v>15620</v>
      </c>
      <c r="B47" s="11">
        <v>42041</v>
      </c>
      <c r="C47" s="12">
        <v>20</v>
      </c>
      <c r="D47" s="12">
        <v>1.52</v>
      </c>
      <c r="E47" s="17"/>
      <c r="H47" s="12"/>
      <c r="I47" s="10"/>
    </row>
    <row r="48" spans="1:9" x14ac:dyDescent="0.2">
      <c r="A48" s="10">
        <v>15621</v>
      </c>
      <c r="B48" s="11">
        <v>42041</v>
      </c>
      <c r="C48" s="12">
        <v>70</v>
      </c>
      <c r="D48" s="12">
        <v>5.33</v>
      </c>
      <c r="E48" s="17"/>
      <c r="F48" s="18"/>
      <c r="G48" s="19"/>
      <c r="H48" s="12"/>
      <c r="I48" s="10"/>
    </row>
    <row r="49" spans="1:9" x14ac:dyDescent="0.2">
      <c r="A49" s="10">
        <v>15622</v>
      </c>
      <c r="B49" s="11">
        <v>42041</v>
      </c>
      <c r="C49" s="12">
        <v>27.009999999999998</v>
      </c>
      <c r="D49" s="12">
        <v>2.06</v>
      </c>
      <c r="E49" s="15" t="s">
        <v>7</v>
      </c>
      <c r="F49" s="21"/>
      <c r="G49" s="22"/>
      <c r="H49" s="10"/>
      <c r="I49" s="10"/>
    </row>
    <row r="50" spans="1:9" x14ac:dyDescent="0.2">
      <c r="A50" s="10">
        <v>15623</v>
      </c>
      <c r="B50" s="11">
        <v>42041</v>
      </c>
      <c r="C50" s="12">
        <v>223</v>
      </c>
      <c r="D50" s="12"/>
      <c r="E50" s="17"/>
      <c r="F50" s="18"/>
      <c r="G50" s="19"/>
      <c r="H50" s="12"/>
      <c r="I50" s="10"/>
    </row>
    <row r="51" spans="1:9" x14ac:dyDescent="0.2">
      <c r="A51" s="10">
        <v>15624</v>
      </c>
      <c r="B51" s="11">
        <v>42041</v>
      </c>
      <c r="C51" s="12">
        <v>31.95</v>
      </c>
      <c r="D51" s="12">
        <v>2.4300000000000002</v>
      </c>
      <c r="E51" s="17"/>
      <c r="H51" s="12"/>
      <c r="I51" s="10"/>
    </row>
    <row r="52" spans="1:9" x14ac:dyDescent="0.2">
      <c r="A52" s="10">
        <v>15625</v>
      </c>
      <c r="B52" s="11">
        <v>42041</v>
      </c>
      <c r="C52" s="12">
        <v>22.57</v>
      </c>
      <c r="D52" s="12">
        <v>1.72</v>
      </c>
      <c r="E52" s="17"/>
      <c r="H52" s="12"/>
      <c r="I52" s="10"/>
    </row>
    <row r="53" spans="1:9" x14ac:dyDescent="0.2">
      <c r="A53" s="10">
        <v>15626</v>
      </c>
      <c r="B53" s="11">
        <v>42041</v>
      </c>
      <c r="C53" s="12">
        <v>44.98</v>
      </c>
      <c r="D53" s="12"/>
      <c r="E53" s="15" t="s">
        <v>254</v>
      </c>
      <c r="H53" s="10"/>
      <c r="I53" s="10"/>
    </row>
    <row r="54" spans="1:9" x14ac:dyDescent="0.2">
      <c r="A54" s="10">
        <v>15627</v>
      </c>
      <c r="B54" s="11">
        <v>42041</v>
      </c>
      <c r="C54" s="12">
        <v>57.37</v>
      </c>
      <c r="D54" s="12">
        <v>4.37</v>
      </c>
      <c r="E54" s="15" t="s">
        <v>11</v>
      </c>
      <c r="F54" s="115"/>
      <c r="G54" s="115"/>
      <c r="H54" s="10"/>
      <c r="I54" s="10"/>
    </row>
    <row r="55" spans="1:9" x14ac:dyDescent="0.2">
      <c r="A55" s="10">
        <v>15628</v>
      </c>
      <c r="B55" s="11">
        <v>42041</v>
      </c>
      <c r="C55" s="12">
        <v>27.06</v>
      </c>
      <c r="D55" s="12">
        <v>2.06</v>
      </c>
      <c r="E55" s="15" t="s">
        <v>255</v>
      </c>
      <c r="F55" s="33">
        <f>+C46+C49+C53+C54</f>
        <v>345.86</v>
      </c>
      <c r="G55" s="34">
        <v>339.37</v>
      </c>
      <c r="H55" s="10"/>
      <c r="I55" s="10"/>
    </row>
    <row r="56" spans="1:9" x14ac:dyDescent="0.2">
      <c r="A56" s="10">
        <v>15629</v>
      </c>
      <c r="B56" s="11">
        <v>42042</v>
      </c>
      <c r="C56" s="12">
        <v>21.65</v>
      </c>
      <c r="D56" s="12">
        <v>1.65</v>
      </c>
      <c r="E56" s="17"/>
      <c r="F56" s="18"/>
      <c r="G56" s="19"/>
      <c r="H56" s="12"/>
      <c r="I56" s="10"/>
    </row>
    <row r="57" spans="1:9" x14ac:dyDescent="0.2">
      <c r="A57" s="10">
        <v>15630</v>
      </c>
      <c r="B57" s="11">
        <v>42042</v>
      </c>
      <c r="C57" s="12">
        <v>10.83</v>
      </c>
      <c r="D57" s="12">
        <v>0.83</v>
      </c>
      <c r="E57" s="17"/>
      <c r="H57" s="12"/>
      <c r="I57" s="10"/>
    </row>
    <row r="58" spans="1:9" x14ac:dyDescent="0.2">
      <c r="A58" s="10">
        <v>15631</v>
      </c>
      <c r="B58" s="11">
        <v>42042</v>
      </c>
      <c r="C58" s="12">
        <v>232.2</v>
      </c>
      <c r="D58" s="12">
        <v>17.7</v>
      </c>
      <c r="E58" s="15" t="s">
        <v>11</v>
      </c>
      <c r="F58" s="21"/>
      <c r="G58" s="22"/>
      <c r="H58" s="10"/>
      <c r="I58" s="10"/>
    </row>
    <row r="59" spans="1:9" x14ac:dyDescent="0.2">
      <c r="A59" s="10">
        <v>15632</v>
      </c>
      <c r="B59" s="11">
        <v>42042</v>
      </c>
      <c r="C59" s="12">
        <v>180</v>
      </c>
      <c r="D59" s="12">
        <v>13.72</v>
      </c>
      <c r="E59" s="13"/>
      <c r="F59" s="18"/>
      <c r="G59" s="19"/>
      <c r="H59" s="12"/>
      <c r="I59" s="10"/>
    </row>
    <row r="60" spans="1:9" x14ac:dyDescent="0.2">
      <c r="A60" s="10">
        <v>15633</v>
      </c>
      <c r="B60" s="11">
        <v>42042</v>
      </c>
      <c r="C60" s="12">
        <v>12.94</v>
      </c>
      <c r="D60" s="12">
        <v>0.99</v>
      </c>
      <c r="E60" s="15" t="s">
        <v>11</v>
      </c>
      <c r="H60" s="10"/>
      <c r="I60" s="10"/>
    </row>
    <row r="61" spans="1:9" x14ac:dyDescent="0.2">
      <c r="A61" s="10">
        <v>15634</v>
      </c>
      <c r="B61" s="11">
        <v>42042</v>
      </c>
      <c r="C61" s="12">
        <v>17.27</v>
      </c>
      <c r="D61" s="12">
        <v>1.32</v>
      </c>
      <c r="E61" s="17"/>
      <c r="F61" s="18"/>
      <c r="G61" s="19"/>
      <c r="H61" s="12"/>
      <c r="I61" s="10"/>
    </row>
    <row r="62" spans="1:9" x14ac:dyDescent="0.2">
      <c r="A62" s="10">
        <v>15635</v>
      </c>
      <c r="B62" s="11">
        <v>42042</v>
      </c>
      <c r="C62" s="12">
        <v>28.15</v>
      </c>
      <c r="D62" s="12">
        <v>2.15</v>
      </c>
      <c r="E62" s="15" t="s">
        <v>11</v>
      </c>
      <c r="H62" s="10"/>
      <c r="I62" s="10"/>
    </row>
    <row r="63" spans="1:9" x14ac:dyDescent="0.2">
      <c r="A63" s="10">
        <v>15636</v>
      </c>
      <c r="B63" s="11">
        <v>42042</v>
      </c>
      <c r="C63" s="12">
        <v>17.27</v>
      </c>
      <c r="D63" s="12">
        <v>1.32</v>
      </c>
      <c r="E63" s="17"/>
      <c r="H63" s="12"/>
      <c r="I63" s="10"/>
    </row>
    <row r="64" spans="1:9" x14ac:dyDescent="0.2">
      <c r="A64" s="10">
        <v>15637</v>
      </c>
      <c r="B64" s="11">
        <v>42042</v>
      </c>
      <c r="C64" s="12">
        <v>29.91</v>
      </c>
      <c r="D64" s="12">
        <v>2.2799999999999998</v>
      </c>
      <c r="E64" s="15" t="s">
        <v>256</v>
      </c>
      <c r="H64" s="10"/>
      <c r="I64" s="10"/>
    </row>
    <row r="65" spans="1:9" x14ac:dyDescent="0.2">
      <c r="A65" s="10">
        <v>15638</v>
      </c>
      <c r="B65" s="11">
        <v>42042</v>
      </c>
      <c r="C65" s="12">
        <v>30.31</v>
      </c>
      <c r="D65" s="12">
        <v>2.31</v>
      </c>
      <c r="E65" s="15" t="s">
        <v>11</v>
      </c>
      <c r="H65" s="10"/>
      <c r="I65" s="10"/>
    </row>
    <row r="66" spans="1:9" x14ac:dyDescent="0.2">
      <c r="A66" s="10">
        <v>15639</v>
      </c>
      <c r="B66" s="11">
        <v>42042</v>
      </c>
      <c r="C66" s="12">
        <v>130</v>
      </c>
      <c r="D66" s="12">
        <v>9.91</v>
      </c>
      <c r="E66" s="15" t="s">
        <v>11</v>
      </c>
      <c r="F66" s="115"/>
      <c r="G66" s="115"/>
      <c r="H66" s="10"/>
      <c r="I66" s="10"/>
    </row>
    <row r="67" spans="1:9" x14ac:dyDescent="0.2">
      <c r="A67" s="10">
        <v>15640</v>
      </c>
      <c r="B67" s="11">
        <v>42042</v>
      </c>
      <c r="C67" s="12">
        <v>139</v>
      </c>
      <c r="D67" s="12"/>
      <c r="E67" s="13" t="s">
        <v>40</v>
      </c>
      <c r="F67" s="18"/>
      <c r="G67" s="19"/>
      <c r="H67" s="12"/>
      <c r="I67" s="10"/>
    </row>
    <row r="68" spans="1:9" x14ac:dyDescent="0.2">
      <c r="A68" s="10">
        <v>15641</v>
      </c>
      <c r="B68" s="11">
        <v>42042</v>
      </c>
      <c r="C68" s="12">
        <v>85.52</v>
      </c>
      <c r="D68" s="12">
        <v>6.52</v>
      </c>
      <c r="E68" s="15" t="s">
        <v>21</v>
      </c>
      <c r="H68" s="10"/>
      <c r="I68" s="10"/>
    </row>
    <row r="69" spans="1:9" x14ac:dyDescent="0.2">
      <c r="A69" s="10">
        <v>15642</v>
      </c>
      <c r="B69" s="11">
        <v>42042</v>
      </c>
      <c r="C69" s="12">
        <v>20.509999999999998</v>
      </c>
      <c r="D69" s="12">
        <v>1.56</v>
      </c>
      <c r="E69" s="17"/>
      <c r="F69" s="18"/>
      <c r="G69" s="19"/>
      <c r="H69" s="12"/>
      <c r="I69" s="10"/>
    </row>
    <row r="70" spans="1:9" x14ac:dyDescent="0.2">
      <c r="A70" s="10">
        <v>15643</v>
      </c>
      <c r="B70" s="11">
        <v>42042</v>
      </c>
      <c r="C70" s="12">
        <v>242.48</v>
      </c>
      <c r="D70" s="12">
        <v>18.48</v>
      </c>
      <c r="E70" s="13" t="s">
        <v>257</v>
      </c>
      <c r="H70" s="12"/>
      <c r="I70" s="10"/>
    </row>
    <row r="71" spans="1:9" x14ac:dyDescent="0.2">
      <c r="A71" s="10">
        <v>15644</v>
      </c>
      <c r="B71" s="11">
        <v>42042</v>
      </c>
      <c r="C71" s="12">
        <v>124</v>
      </c>
      <c r="D71" s="12"/>
      <c r="E71" s="15" t="s">
        <v>21</v>
      </c>
      <c r="F71" s="115"/>
      <c r="G71" s="115"/>
      <c r="H71" s="10"/>
      <c r="I71" s="10"/>
    </row>
    <row r="72" spans="1:9" x14ac:dyDescent="0.2">
      <c r="A72" s="10">
        <v>15645</v>
      </c>
      <c r="B72" s="11">
        <v>42042</v>
      </c>
      <c r="C72" s="12">
        <v>20</v>
      </c>
      <c r="D72" s="12"/>
      <c r="E72" s="13" t="s">
        <v>40</v>
      </c>
      <c r="F72" s="33">
        <f>+C58+C60+C62+C65+C66</f>
        <v>433.59999999999997</v>
      </c>
      <c r="G72" s="34">
        <v>426.92</v>
      </c>
      <c r="H72" s="12"/>
      <c r="I72" s="10"/>
    </row>
    <row r="73" spans="1:9" x14ac:dyDescent="0.2">
      <c r="A73" s="10">
        <v>15646</v>
      </c>
      <c r="B73" s="11">
        <v>42044</v>
      </c>
      <c r="C73" s="12">
        <v>409.19</v>
      </c>
      <c r="D73" s="12">
        <v>31.19</v>
      </c>
      <c r="E73" s="15" t="s">
        <v>7</v>
      </c>
      <c r="F73" s="21"/>
      <c r="G73" s="22"/>
      <c r="H73" s="10"/>
      <c r="I73" s="10"/>
    </row>
    <row r="74" spans="1:9" x14ac:dyDescent="0.2">
      <c r="A74" s="10">
        <v>15647</v>
      </c>
      <c r="B74" s="11">
        <v>42044</v>
      </c>
      <c r="C74" s="12">
        <v>8</v>
      </c>
      <c r="D74" s="12">
        <v>0.61</v>
      </c>
      <c r="E74" s="15" t="s">
        <v>11</v>
      </c>
      <c r="F74" s="21"/>
      <c r="G74" s="22"/>
      <c r="H74" s="10"/>
      <c r="I74" s="10"/>
    </row>
    <row r="75" spans="1:9" x14ac:dyDescent="0.2">
      <c r="A75" s="10">
        <v>15648</v>
      </c>
      <c r="B75" s="11">
        <v>42044</v>
      </c>
      <c r="C75" s="12">
        <v>368.05</v>
      </c>
      <c r="D75" s="12">
        <v>28.05</v>
      </c>
      <c r="E75" s="15" t="s">
        <v>7</v>
      </c>
      <c r="F75" s="21"/>
      <c r="G75" s="22"/>
      <c r="H75" s="10"/>
      <c r="I75" s="10"/>
    </row>
    <row r="76" spans="1:9" x14ac:dyDescent="0.2">
      <c r="A76" s="10">
        <v>15649</v>
      </c>
      <c r="B76" s="11">
        <v>42044</v>
      </c>
      <c r="C76" s="12">
        <v>5</v>
      </c>
      <c r="D76" s="12">
        <v>0.38</v>
      </c>
      <c r="E76" s="15" t="s">
        <v>11</v>
      </c>
      <c r="F76" s="21"/>
      <c r="G76" s="22"/>
      <c r="H76" s="10"/>
      <c r="I76" s="10"/>
    </row>
    <row r="77" spans="1:9" x14ac:dyDescent="0.2">
      <c r="A77" s="10">
        <v>15650</v>
      </c>
      <c r="B77" s="11">
        <v>42044</v>
      </c>
      <c r="C77" s="12">
        <v>694.97</v>
      </c>
      <c r="D77" s="12">
        <v>52.97</v>
      </c>
      <c r="E77" s="15" t="s">
        <v>11</v>
      </c>
      <c r="F77" s="21"/>
      <c r="G77" s="22"/>
      <c r="H77" s="10"/>
      <c r="I77" s="10"/>
    </row>
    <row r="78" spans="1:9" x14ac:dyDescent="0.2">
      <c r="A78" s="10">
        <v>15651</v>
      </c>
      <c r="B78" s="11">
        <v>42044</v>
      </c>
      <c r="C78" s="12">
        <v>14.02</v>
      </c>
      <c r="D78" s="12">
        <v>1.07</v>
      </c>
      <c r="E78" s="15" t="s">
        <v>11</v>
      </c>
      <c r="F78" s="21"/>
      <c r="G78" s="22"/>
      <c r="H78" s="10"/>
      <c r="I78" s="10"/>
    </row>
    <row r="79" spans="1:9" x14ac:dyDescent="0.2">
      <c r="A79" s="10">
        <v>15652</v>
      </c>
      <c r="B79" s="11">
        <v>42044</v>
      </c>
      <c r="C79" s="12">
        <v>28.15</v>
      </c>
      <c r="D79" s="12">
        <v>2.15</v>
      </c>
      <c r="E79" s="13"/>
      <c r="F79" s="18"/>
      <c r="G79" s="19"/>
      <c r="H79" s="12"/>
      <c r="I79" s="10"/>
    </row>
    <row r="80" spans="1:9" x14ac:dyDescent="0.2">
      <c r="A80" s="10">
        <v>15653</v>
      </c>
      <c r="B80" s="11">
        <v>42044</v>
      </c>
      <c r="C80" s="12">
        <v>322.58999999999997</v>
      </c>
      <c r="D80" s="12">
        <v>24.59</v>
      </c>
      <c r="E80" s="15"/>
      <c r="F80" s="21"/>
      <c r="G80" s="22"/>
      <c r="H80" s="10"/>
      <c r="I80" s="10"/>
    </row>
    <row r="81" spans="1:9" x14ac:dyDescent="0.2">
      <c r="A81" s="10">
        <v>15654</v>
      </c>
      <c r="B81" s="11">
        <v>42044</v>
      </c>
      <c r="C81" s="12">
        <v>193.23</v>
      </c>
      <c r="D81" s="12">
        <v>14.73</v>
      </c>
      <c r="E81" s="15" t="s">
        <v>7</v>
      </c>
      <c r="H81" s="10"/>
      <c r="I81" s="10"/>
    </row>
    <row r="82" spans="1:9" x14ac:dyDescent="0.2">
      <c r="A82" s="10">
        <v>15655</v>
      </c>
      <c r="B82" s="11">
        <v>42044</v>
      </c>
      <c r="C82" s="12">
        <v>40.049999999999997</v>
      </c>
      <c r="D82" s="12">
        <v>3.05</v>
      </c>
      <c r="E82" s="15" t="s">
        <v>258</v>
      </c>
      <c r="H82" s="10"/>
      <c r="I82" s="10"/>
    </row>
    <row r="83" spans="1:9" x14ac:dyDescent="0.2">
      <c r="A83" s="10">
        <v>15656</v>
      </c>
      <c r="B83" s="11">
        <v>42044</v>
      </c>
      <c r="C83" s="12">
        <v>30.31</v>
      </c>
      <c r="D83" s="12">
        <v>2.31</v>
      </c>
      <c r="E83" s="15" t="s">
        <v>7</v>
      </c>
      <c r="H83" s="10"/>
      <c r="I83" s="10"/>
    </row>
    <row r="84" spans="1:9" x14ac:dyDescent="0.2">
      <c r="A84" s="10">
        <v>15657</v>
      </c>
      <c r="B84" s="11">
        <v>42044</v>
      </c>
      <c r="C84" s="12">
        <v>280.37</v>
      </c>
      <c r="D84" s="12">
        <v>21.37</v>
      </c>
      <c r="E84" s="15" t="s">
        <v>11</v>
      </c>
      <c r="H84" s="10"/>
      <c r="I84" s="10"/>
    </row>
    <row r="85" spans="1:9" x14ac:dyDescent="0.2">
      <c r="A85" s="10">
        <v>15658</v>
      </c>
      <c r="B85" s="11">
        <v>42044</v>
      </c>
      <c r="C85" s="12">
        <v>208</v>
      </c>
      <c r="D85" s="12"/>
      <c r="E85" s="13" t="s">
        <v>40</v>
      </c>
      <c r="F85" s="33">
        <f>+C73+C74+C75+C76+C77+C78+C81+C83+C84+20.05</f>
        <v>2023.1899999999998</v>
      </c>
      <c r="G85" s="34">
        <v>1985.42</v>
      </c>
      <c r="H85" s="12"/>
      <c r="I85" s="10"/>
    </row>
    <row r="86" spans="1:9" x14ac:dyDescent="0.2">
      <c r="A86" s="10">
        <v>15659</v>
      </c>
      <c r="B86" s="11">
        <v>42045</v>
      </c>
      <c r="C86" s="12">
        <v>448.15999999999997</v>
      </c>
      <c r="D86" s="12">
        <v>34.159999999999997</v>
      </c>
      <c r="E86" s="13" t="s">
        <v>259</v>
      </c>
      <c r="H86" s="12"/>
      <c r="I86" s="10"/>
    </row>
    <row r="87" spans="1:9" x14ac:dyDescent="0.2">
      <c r="A87" s="10">
        <v>15660</v>
      </c>
      <c r="B87" s="11">
        <v>42045</v>
      </c>
      <c r="C87" s="12">
        <v>97.43</v>
      </c>
      <c r="D87" s="12">
        <v>7.43</v>
      </c>
      <c r="E87" s="15" t="s">
        <v>11</v>
      </c>
      <c r="H87" s="10"/>
      <c r="I87" s="10"/>
    </row>
    <row r="88" spans="1:9" x14ac:dyDescent="0.2">
      <c r="A88" s="10">
        <v>15661</v>
      </c>
      <c r="B88" s="11">
        <v>42045</v>
      </c>
      <c r="C88" s="12">
        <v>22.44</v>
      </c>
      <c r="D88" s="12"/>
      <c r="E88" s="15" t="s">
        <v>16</v>
      </c>
      <c r="F88" s="115"/>
      <c r="G88" s="115"/>
      <c r="H88" s="10"/>
      <c r="I88" s="10"/>
    </row>
    <row r="89" spans="1:9" x14ac:dyDescent="0.2">
      <c r="A89" s="10">
        <v>15662</v>
      </c>
      <c r="B89" s="11">
        <v>42045</v>
      </c>
      <c r="C89" s="12">
        <v>37.89</v>
      </c>
      <c r="D89" s="12">
        <v>2.89</v>
      </c>
      <c r="E89" s="15"/>
      <c r="F89" s="21"/>
      <c r="G89" s="22"/>
      <c r="H89" s="10"/>
      <c r="I89" s="10"/>
    </row>
    <row r="90" spans="1:9" x14ac:dyDescent="0.2">
      <c r="A90" s="10">
        <v>15663</v>
      </c>
      <c r="B90" s="11">
        <v>42045</v>
      </c>
      <c r="C90" s="12">
        <v>407.02</v>
      </c>
      <c r="D90" s="12">
        <v>31.02</v>
      </c>
      <c r="E90" s="15" t="s">
        <v>11</v>
      </c>
      <c r="F90" s="21"/>
      <c r="G90" s="22"/>
      <c r="H90" s="10"/>
      <c r="I90" s="10"/>
    </row>
    <row r="91" spans="1:9" x14ac:dyDescent="0.2">
      <c r="A91" s="10">
        <v>15664</v>
      </c>
      <c r="B91" s="11">
        <v>42045</v>
      </c>
      <c r="C91" s="12">
        <v>27.009999999999998</v>
      </c>
      <c r="D91" s="12">
        <v>2.06</v>
      </c>
      <c r="E91" s="15" t="s">
        <v>7</v>
      </c>
      <c r="F91" s="21"/>
      <c r="G91" s="22"/>
      <c r="H91" s="10"/>
      <c r="I91" s="10"/>
    </row>
    <row r="92" spans="1:9" x14ac:dyDescent="0.2">
      <c r="A92" s="10">
        <v>15665</v>
      </c>
      <c r="B92" s="11">
        <v>42045</v>
      </c>
      <c r="C92" s="12">
        <v>49.8</v>
      </c>
      <c r="D92" s="12">
        <v>3.8</v>
      </c>
      <c r="E92" s="17"/>
      <c r="F92" s="18"/>
      <c r="G92" s="19"/>
      <c r="H92" s="12"/>
      <c r="I92" s="10"/>
    </row>
    <row r="93" spans="1:9" x14ac:dyDescent="0.2">
      <c r="A93" s="10">
        <v>15666</v>
      </c>
      <c r="B93" s="11">
        <v>42045</v>
      </c>
      <c r="C93" s="12">
        <v>166</v>
      </c>
      <c r="D93" s="12"/>
      <c r="E93" s="13" t="s">
        <v>260</v>
      </c>
      <c r="F93" s="115"/>
      <c r="G93" s="115"/>
      <c r="H93" s="12"/>
      <c r="I93" s="10"/>
    </row>
    <row r="94" spans="1:9" x14ac:dyDescent="0.2">
      <c r="A94" s="10">
        <v>15667</v>
      </c>
      <c r="B94" s="11">
        <v>42045</v>
      </c>
      <c r="C94" s="12">
        <v>87.14</v>
      </c>
      <c r="D94" s="12">
        <v>6.64</v>
      </c>
      <c r="E94" s="17"/>
      <c r="F94" s="18"/>
      <c r="G94" s="19"/>
      <c r="H94" s="12"/>
      <c r="I94" s="10"/>
    </row>
    <row r="95" spans="1:9" x14ac:dyDescent="0.2">
      <c r="A95" s="10">
        <v>15668</v>
      </c>
      <c r="B95" s="11">
        <v>42045</v>
      </c>
      <c r="C95" s="12">
        <v>24.84</v>
      </c>
      <c r="D95" s="12">
        <v>1.89</v>
      </c>
      <c r="E95" s="17"/>
      <c r="H95" s="12"/>
      <c r="I95" s="10"/>
    </row>
    <row r="96" spans="1:9" x14ac:dyDescent="0.2">
      <c r="A96" s="10">
        <v>15669</v>
      </c>
      <c r="B96" s="11">
        <v>42045</v>
      </c>
      <c r="C96" s="12">
        <v>270.08</v>
      </c>
      <c r="D96" s="12">
        <v>20.58</v>
      </c>
      <c r="E96" s="15" t="s">
        <v>21</v>
      </c>
      <c r="H96" s="10"/>
      <c r="I96" s="10"/>
    </row>
    <row r="97" spans="1:9" x14ac:dyDescent="0.2">
      <c r="A97" s="10">
        <v>15670</v>
      </c>
      <c r="B97" s="11">
        <v>42045</v>
      </c>
      <c r="C97" s="12">
        <v>100.00000000000001</v>
      </c>
      <c r="D97" s="12">
        <v>7.62</v>
      </c>
      <c r="E97" s="17"/>
      <c r="H97" s="12"/>
      <c r="I97" s="10"/>
    </row>
    <row r="98" spans="1:9" x14ac:dyDescent="0.2">
      <c r="A98" s="10">
        <v>15671</v>
      </c>
      <c r="B98" s="11">
        <v>42045</v>
      </c>
      <c r="C98" s="12">
        <v>5</v>
      </c>
      <c r="D98" s="12">
        <v>0.38</v>
      </c>
      <c r="E98" s="17"/>
      <c r="F98" s="18"/>
      <c r="G98" s="19"/>
      <c r="H98" s="12"/>
      <c r="I98" s="10"/>
    </row>
    <row r="99" spans="1:9" x14ac:dyDescent="0.2">
      <c r="A99" s="10">
        <v>15672</v>
      </c>
      <c r="B99" s="11">
        <v>42045</v>
      </c>
      <c r="C99" s="12">
        <v>29</v>
      </c>
      <c r="D99" s="12"/>
      <c r="E99" s="13" t="s">
        <v>19</v>
      </c>
      <c r="H99" s="12"/>
      <c r="I99" s="10"/>
    </row>
    <row r="100" spans="1:9" x14ac:dyDescent="0.2">
      <c r="A100" s="10">
        <v>15673</v>
      </c>
      <c r="B100" s="11">
        <v>42045</v>
      </c>
      <c r="C100" s="12">
        <v>239.44</v>
      </c>
      <c r="D100" s="12">
        <v>14.44</v>
      </c>
      <c r="E100" s="15"/>
      <c r="H100" s="10"/>
      <c r="I100" s="10"/>
    </row>
    <row r="101" spans="1:9" x14ac:dyDescent="0.2">
      <c r="A101" s="10">
        <v>15674</v>
      </c>
      <c r="B101" s="11">
        <v>42045</v>
      </c>
      <c r="C101" s="12">
        <v>-43.3</v>
      </c>
      <c r="D101" s="12">
        <v>-3.3</v>
      </c>
      <c r="E101" s="15" t="s">
        <v>261</v>
      </c>
      <c r="H101" s="10"/>
      <c r="I101" s="10"/>
    </row>
    <row r="102" spans="1:9" x14ac:dyDescent="0.2">
      <c r="A102" s="10">
        <v>15675</v>
      </c>
      <c r="B102" s="11">
        <v>42045</v>
      </c>
      <c r="C102" s="12">
        <v>265.20999999999998</v>
      </c>
      <c r="D102" s="12">
        <v>20.21</v>
      </c>
      <c r="E102" s="17"/>
      <c r="H102" s="12"/>
      <c r="I102" s="10"/>
    </row>
    <row r="103" spans="1:9" x14ac:dyDescent="0.2">
      <c r="A103" s="10">
        <v>15676</v>
      </c>
      <c r="B103" s="11">
        <v>42045</v>
      </c>
      <c r="C103" s="12">
        <v>44.38</v>
      </c>
      <c r="D103" s="12">
        <v>3.38</v>
      </c>
      <c r="E103" s="17"/>
      <c r="F103" s="33">
        <f>+C90+C91+C87</f>
        <v>531.46</v>
      </c>
      <c r="G103" s="34">
        <v>527.25</v>
      </c>
      <c r="H103" s="12"/>
      <c r="I103" s="10"/>
    </row>
    <row r="104" spans="1:9" x14ac:dyDescent="0.2">
      <c r="A104" s="10">
        <v>15677</v>
      </c>
      <c r="B104" s="11">
        <v>42046</v>
      </c>
      <c r="C104" s="12">
        <v>30.31</v>
      </c>
      <c r="D104" s="12">
        <v>2.31</v>
      </c>
      <c r="E104" s="15" t="s">
        <v>262</v>
      </c>
      <c r="H104" s="10"/>
      <c r="I104" s="10"/>
    </row>
    <row r="105" spans="1:9" x14ac:dyDescent="0.2">
      <c r="A105" s="10">
        <v>15678</v>
      </c>
      <c r="B105" s="11">
        <v>42046</v>
      </c>
      <c r="C105" s="12">
        <v>59.54</v>
      </c>
      <c r="D105" s="12">
        <v>4.54</v>
      </c>
      <c r="E105" s="15"/>
      <c r="H105" s="10"/>
      <c r="I105" s="10"/>
    </row>
    <row r="106" spans="1:9" x14ac:dyDescent="0.2">
      <c r="A106" s="10">
        <v>15679</v>
      </c>
      <c r="B106" s="11">
        <v>42046</v>
      </c>
      <c r="C106" s="12">
        <v>242.48</v>
      </c>
      <c r="D106" s="12">
        <v>18.48</v>
      </c>
      <c r="E106" s="15" t="s">
        <v>7</v>
      </c>
      <c r="H106" s="10"/>
      <c r="I106" s="10"/>
    </row>
    <row r="107" spans="1:9" x14ac:dyDescent="0.2">
      <c r="A107" s="10">
        <v>15680</v>
      </c>
      <c r="B107" s="11">
        <v>42046</v>
      </c>
      <c r="C107" s="12">
        <v>46.48</v>
      </c>
      <c r="D107" s="12"/>
      <c r="E107" s="13" t="s">
        <v>263</v>
      </c>
      <c r="F107" s="116"/>
      <c r="G107" s="116"/>
      <c r="H107" s="12"/>
      <c r="I107" s="10"/>
    </row>
    <row r="108" spans="1:9" x14ac:dyDescent="0.2">
      <c r="A108" s="10">
        <v>15681</v>
      </c>
      <c r="B108" s="11">
        <v>42046</v>
      </c>
      <c r="C108" s="12">
        <v>19.43</v>
      </c>
      <c r="D108" s="12">
        <v>1.48</v>
      </c>
      <c r="E108" s="15" t="s">
        <v>11</v>
      </c>
      <c r="H108" s="10"/>
      <c r="I108" s="10"/>
    </row>
    <row r="109" spans="1:9" x14ac:dyDescent="0.2">
      <c r="A109" s="10">
        <v>15682</v>
      </c>
      <c r="B109" s="11">
        <v>42046</v>
      </c>
      <c r="C109" s="12">
        <v>84.44</v>
      </c>
      <c r="D109" s="12">
        <v>6.44</v>
      </c>
      <c r="E109" s="15" t="s">
        <v>11</v>
      </c>
      <c r="H109" s="10"/>
      <c r="I109" s="10"/>
    </row>
    <row r="110" spans="1:9" x14ac:dyDescent="0.2">
      <c r="A110" s="10">
        <v>15683</v>
      </c>
      <c r="B110" s="11">
        <v>42046</v>
      </c>
      <c r="C110" s="12">
        <v>324</v>
      </c>
      <c r="D110" s="12"/>
      <c r="E110" s="15" t="s">
        <v>264</v>
      </c>
      <c r="H110" s="10"/>
      <c r="I110" s="10"/>
    </row>
    <row r="111" spans="1:9" x14ac:dyDescent="0.2">
      <c r="A111" s="10">
        <v>15684</v>
      </c>
      <c r="B111" s="11">
        <v>42046</v>
      </c>
      <c r="C111" s="12">
        <v>16.18</v>
      </c>
      <c r="D111" s="12">
        <v>1.23</v>
      </c>
      <c r="E111" s="17"/>
      <c r="F111" s="18"/>
      <c r="G111" s="19"/>
      <c r="H111" s="12"/>
      <c r="I111" s="10"/>
    </row>
    <row r="112" spans="1:9" x14ac:dyDescent="0.2">
      <c r="A112" s="10">
        <v>15685</v>
      </c>
      <c r="B112" s="11">
        <v>42046</v>
      </c>
      <c r="C112" s="12">
        <v>73</v>
      </c>
      <c r="D112" s="12"/>
      <c r="E112" s="13" t="s">
        <v>8</v>
      </c>
      <c r="H112" s="12"/>
      <c r="I112" s="10"/>
    </row>
    <row r="113" spans="1:9" x14ac:dyDescent="0.2">
      <c r="A113" s="10">
        <v>15686</v>
      </c>
      <c r="B113" s="11">
        <v>42046</v>
      </c>
      <c r="C113" s="12">
        <v>8.66</v>
      </c>
      <c r="D113" s="12">
        <v>0.66</v>
      </c>
      <c r="E113" s="15" t="s">
        <v>11</v>
      </c>
      <c r="F113" s="33">
        <f>+C108+C109+C113</f>
        <v>112.53</v>
      </c>
      <c r="G113" s="34">
        <v>109.96</v>
      </c>
      <c r="H113" s="10"/>
      <c r="I113" s="10"/>
    </row>
    <row r="114" spans="1:9" x14ac:dyDescent="0.2">
      <c r="A114" s="10">
        <v>15687</v>
      </c>
      <c r="B114" s="11">
        <v>42047</v>
      </c>
      <c r="C114" s="12">
        <v>205</v>
      </c>
      <c r="D114" s="12"/>
      <c r="E114" s="15" t="s">
        <v>265</v>
      </c>
      <c r="F114" s="21"/>
      <c r="G114" s="22"/>
      <c r="H114" s="10"/>
      <c r="I114" s="10"/>
    </row>
    <row r="115" spans="1:9" x14ac:dyDescent="0.2">
      <c r="A115" s="10">
        <v>15688</v>
      </c>
      <c r="B115" s="11">
        <v>42047</v>
      </c>
      <c r="C115" s="12">
        <v>21.65</v>
      </c>
      <c r="D115" s="12">
        <v>1.65</v>
      </c>
      <c r="E115" s="13"/>
      <c r="F115" s="18"/>
      <c r="G115" s="19"/>
      <c r="H115" s="12"/>
      <c r="I115" s="10"/>
    </row>
    <row r="116" spans="1:9" x14ac:dyDescent="0.2">
      <c r="A116" s="10">
        <v>15689</v>
      </c>
      <c r="B116" s="11">
        <v>42047</v>
      </c>
      <c r="C116" s="12">
        <v>27.06</v>
      </c>
      <c r="D116" s="12">
        <v>2.06</v>
      </c>
      <c r="E116" s="15" t="s">
        <v>266</v>
      </c>
      <c r="F116" s="21"/>
      <c r="G116" s="22"/>
      <c r="H116" s="10"/>
      <c r="I116" s="10"/>
    </row>
    <row r="117" spans="1:9" x14ac:dyDescent="0.2">
      <c r="A117" s="10">
        <v>15690</v>
      </c>
      <c r="B117" s="11">
        <v>42047</v>
      </c>
      <c r="C117" s="12">
        <v>145</v>
      </c>
      <c r="D117" s="12">
        <v>11.05</v>
      </c>
      <c r="E117" s="17"/>
      <c r="F117" s="18"/>
      <c r="G117" s="19"/>
      <c r="H117" s="12"/>
      <c r="I117" s="10"/>
    </row>
    <row r="118" spans="1:9" x14ac:dyDescent="0.2">
      <c r="A118" s="10">
        <v>15691</v>
      </c>
      <c r="B118" s="11">
        <v>42047</v>
      </c>
      <c r="C118" s="12">
        <v>21.11</v>
      </c>
      <c r="D118" s="12">
        <v>1.61</v>
      </c>
      <c r="E118" s="17"/>
      <c r="H118" s="12"/>
      <c r="I118" s="10"/>
    </row>
    <row r="119" spans="1:9" x14ac:dyDescent="0.2">
      <c r="A119" s="10">
        <v>15692</v>
      </c>
      <c r="B119" s="11">
        <v>42047</v>
      </c>
      <c r="C119" s="12">
        <v>176.99</v>
      </c>
      <c r="D119" s="12">
        <v>13.49</v>
      </c>
      <c r="E119" s="17"/>
      <c r="H119" s="12"/>
      <c r="I119" s="10"/>
    </row>
    <row r="120" spans="1:9" x14ac:dyDescent="0.2">
      <c r="A120" s="10">
        <v>15693</v>
      </c>
      <c r="B120" s="11">
        <v>42047</v>
      </c>
      <c r="C120" s="12">
        <v>231.66</v>
      </c>
      <c r="D120" s="12">
        <v>17.66</v>
      </c>
      <c r="E120" s="15" t="s">
        <v>11</v>
      </c>
      <c r="H120" s="10"/>
      <c r="I120" s="10"/>
    </row>
    <row r="121" spans="1:9" x14ac:dyDescent="0.2">
      <c r="A121" s="10">
        <v>15694</v>
      </c>
      <c r="B121" s="11">
        <v>42047</v>
      </c>
      <c r="C121" s="12">
        <v>27.06</v>
      </c>
      <c r="D121" s="12">
        <v>2.06</v>
      </c>
      <c r="E121" s="17"/>
      <c r="F121" s="18"/>
      <c r="G121" s="19"/>
      <c r="H121" s="12"/>
      <c r="I121" s="10"/>
    </row>
    <row r="122" spans="1:9" x14ac:dyDescent="0.2">
      <c r="A122" s="10">
        <v>15695</v>
      </c>
      <c r="B122" s="11">
        <v>42047</v>
      </c>
      <c r="C122" s="12">
        <v>405.94</v>
      </c>
      <c r="D122" s="12">
        <v>30.94</v>
      </c>
      <c r="E122" s="15" t="s">
        <v>11</v>
      </c>
      <c r="H122" s="10"/>
      <c r="I122" s="10"/>
    </row>
    <row r="123" spans="1:9" x14ac:dyDescent="0.2">
      <c r="A123" s="10">
        <v>15696</v>
      </c>
      <c r="B123" s="11">
        <v>42047</v>
      </c>
      <c r="C123" s="12">
        <v>101</v>
      </c>
      <c r="D123" s="12"/>
      <c r="E123" s="15" t="s">
        <v>25</v>
      </c>
      <c r="F123" s="21"/>
      <c r="G123" s="22"/>
      <c r="H123" s="10"/>
      <c r="I123" s="10"/>
    </row>
    <row r="124" spans="1:9" x14ac:dyDescent="0.2">
      <c r="A124" s="10">
        <v>15697</v>
      </c>
      <c r="B124" s="11">
        <v>42047</v>
      </c>
      <c r="C124" s="12">
        <v>350.19</v>
      </c>
      <c r="D124" s="12">
        <v>26.69</v>
      </c>
      <c r="E124" s="15" t="s">
        <v>267</v>
      </c>
      <c r="H124" s="10"/>
      <c r="I124" s="10"/>
    </row>
    <row r="125" spans="1:9" x14ac:dyDescent="0.2">
      <c r="A125" s="10">
        <v>15698</v>
      </c>
      <c r="B125" s="11">
        <v>42047</v>
      </c>
      <c r="C125" s="12">
        <v>48.71</v>
      </c>
      <c r="D125" s="12">
        <v>3.71</v>
      </c>
      <c r="E125" s="15" t="s">
        <v>7</v>
      </c>
      <c r="F125" s="21"/>
      <c r="G125" s="22"/>
      <c r="H125" s="10"/>
      <c r="I125" s="10"/>
    </row>
    <row r="126" spans="1:9" x14ac:dyDescent="0.2">
      <c r="A126" s="10">
        <v>15699</v>
      </c>
      <c r="B126" s="11">
        <v>42047</v>
      </c>
      <c r="C126" s="12">
        <v>24.9</v>
      </c>
      <c r="D126" s="12">
        <v>1.9</v>
      </c>
      <c r="E126" s="15" t="s">
        <v>268</v>
      </c>
      <c r="H126" s="10"/>
      <c r="I126" s="10"/>
    </row>
    <row r="127" spans="1:9" x14ac:dyDescent="0.2">
      <c r="A127" s="10">
        <v>15700</v>
      </c>
      <c r="B127" s="11">
        <v>42047</v>
      </c>
      <c r="C127" s="12">
        <v>150.47</v>
      </c>
      <c r="D127" s="12">
        <v>11.47</v>
      </c>
      <c r="E127" s="15" t="s">
        <v>7</v>
      </c>
      <c r="H127" s="10"/>
      <c r="I127" s="10"/>
    </row>
    <row r="128" spans="1:9" x14ac:dyDescent="0.2">
      <c r="A128" s="10">
        <v>15701</v>
      </c>
      <c r="B128" s="11">
        <v>42047</v>
      </c>
      <c r="C128" s="12">
        <v>158.15</v>
      </c>
      <c r="D128" s="12">
        <v>12.05</v>
      </c>
      <c r="E128" s="15" t="s">
        <v>269</v>
      </c>
      <c r="H128" s="10"/>
      <c r="I128" s="10"/>
    </row>
    <row r="129" spans="1:9" x14ac:dyDescent="0.2">
      <c r="A129" s="10">
        <v>15702</v>
      </c>
      <c r="B129" s="11">
        <v>42047</v>
      </c>
      <c r="C129" s="12">
        <v>27</v>
      </c>
      <c r="D129" s="12"/>
      <c r="E129" s="23" t="s">
        <v>16</v>
      </c>
      <c r="F129" s="33">
        <f>+C106+C110+C122+C125+C127</f>
        <v>1171.6000000000001</v>
      </c>
      <c r="G129" s="34">
        <v>1157.81</v>
      </c>
      <c r="H129" s="10"/>
      <c r="I129" s="10"/>
    </row>
    <row r="130" spans="1:9" x14ac:dyDescent="0.2">
      <c r="A130" s="10">
        <v>15703</v>
      </c>
      <c r="B130" s="11">
        <v>42048</v>
      </c>
      <c r="C130" s="12">
        <v>10.83</v>
      </c>
      <c r="D130" s="12">
        <v>0.83</v>
      </c>
      <c r="E130" s="15" t="s">
        <v>11</v>
      </c>
      <c r="F130" s="21"/>
      <c r="G130" s="22"/>
      <c r="H130" s="10"/>
      <c r="I130" s="10"/>
    </row>
    <row r="131" spans="1:9" x14ac:dyDescent="0.2">
      <c r="A131" s="10">
        <v>15704</v>
      </c>
      <c r="B131" s="11">
        <v>42048</v>
      </c>
      <c r="C131" s="12">
        <v>79.02</v>
      </c>
      <c r="D131" s="12">
        <v>6.02</v>
      </c>
      <c r="E131" s="15" t="s">
        <v>11</v>
      </c>
      <c r="F131" s="21"/>
      <c r="G131" s="22"/>
      <c r="H131" s="10"/>
      <c r="I131" s="10"/>
    </row>
    <row r="132" spans="1:9" x14ac:dyDescent="0.2">
      <c r="A132" s="10">
        <v>15705</v>
      </c>
      <c r="B132" s="11">
        <v>42048</v>
      </c>
      <c r="C132" s="12">
        <v>74.69</v>
      </c>
      <c r="D132" s="12">
        <v>5.69</v>
      </c>
      <c r="E132" s="15" t="s">
        <v>21</v>
      </c>
      <c r="F132" s="21"/>
      <c r="G132" s="22"/>
      <c r="H132" s="10"/>
      <c r="I132" s="10"/>
    </row>
    <row r="133" spans="1:9" x14ac:dyDescent="0.2">
      <c r="A133" s="10">
        <v>15706</v>
      </c>
      <c r="B133" s="11">
        <v>42048</v>
      </c>
      <c r="C133" s="12">
        <v>49.8</v>
      </c>
      <c r="D133" s="12">
        <v>3.8</v>
      </c>
      <c r="E133" s="15" t="s">
        <v>11</v>
      </c>
      <c r="F133" s="21"/>
      <c r="G133" s="22"/>
      <c r="H133" s="10"/>
      <c r="I133" s="10"/>
    </row>
    <row r="134" spans="1:9" x14ac:dyDescent="0.2">
      <c r="A134" s="10">
        <v>15707</v>
      </c>
      <c r="B134" s="11">
        <v>42048</v>
      </c>
      <c r="C134" s="12">
        <v>3.79</v>
      </c>
      <c r="D134" s="12">
        <v>0.28999999999999998</v>
      </c>
      <c r="E134" s="13"/>
      <c r="F134" s="18"/>
      <c r="G134" s="19"/>
      <c r="H134" s="12"/>
      <c r="I134" s="10"/>
    </row>
    <row r="135" spans="1:9" x14ac:dyDescent="0.2">
      <c r="A135" s="10">
        <v>15708</v>
      </c>
      <c r="B135" s="11">
        <v>42048</v>
      </c>
      <c r="C135" s="12">
        <v>12</v>
      </c>
      <c r="D135" s="12">
        <v>0.91</v>
      </c>
      <c r="E135" s="15" t="s">
        <v>11</v>
      </c>
      <c r="F135" s="21"/>
      <c r="G135" s="22"/>
      <c r="H135" s="10"/>
      <c r="I135" s="10"/>
    </row>
    <row r="136" spans="1:9" x14ac:dyDescent="0.2">
      <c r="A136" s="10">
        <v>15709</v>
      </c>
      <c r="B136" s="11">
        <v>42048</v>
      </c>
      <c r="C136" s="12">
        <v>159.13</v>
      </c>
      <c r="D136" s="12">
        <v>12.13</v>
      </c>
      <c r="E136" s="13"/>
      <c r="F136" s="18"/>
      <c r="G136" s="19"/>
      <c r="H136" s="12"/>
      <c r="I136" s="10"/>
    </row>
    <row r="137" spans="1:9" x14ac:dyDescent="0.2">
      <c r="A137" s="10">
        <v>15710</v>
      </c>
      <c r="B137" s="11">
        <v>42048</v>
      </c>
      <c r="C137" s="12">
        <v>18.5</v>
      </c>
      <c r="D137" s="12"/>
      <c r="E137" s="13" t="s">
        <v>77</v>
      </c>
      <c r="F137" s="18"/>
      <c r="G137" s="19"/>
      <c r="H137" s="12"/>
      <c r="I137" s="10"/>
    </row>
    <row r="138" spans="1:9" x14ac:dyDescent="0.2">
      <c r="A138" s="10">
        <v>15711</v>
      </c>
      <c r="B138" s="11">
        <v>42048</v>
      </c>
      <c r="C138" s="12">
        <v>22.619999999999997</v>
      </c>
      <c r="D138" s="12">
        <v>1.72</v>
      </c>
      <c r="E138" s="15" t="s">
        <v>7</v>
      </c>
      <c r="H138" s="10"/>
      <c r="I138" s="10"/>
    </row>
    <row r="139" spans="1:9" x14ac:dyDescent="0.2">
      <c r="A139" s="10">
        <v>15712</v>
      </c>
      <c r="B139" s="11">
        <v>42048</v>
      </c>
      <c r="C139" s="12">
        <v>458.98</v>
      </c>
      <c r="D139" s="12">
        <v>34.979999999999997</v>
      </c>
      <c r="E139" s="15" t="s">
        <v>11</v>
      </c>
      <c r="F139" s="21"/>
      <c r="G139" s="22"/>
      <c r="H139" s="10"/>
      <c r="I139" s="10"/>
    </row>
    <row r="140" spans="1:9" x14ac:dyDescent="0.2">
      <c r="A140" s="10">
        <v>15713</v>
      </c>
      <c r="B140" s="11">
        <v>42048</v>
      </c>
      <c r="C140" s="12">
        <v>9.69</v>
      </c>
      <c r="D140" s="12">
        <v>0.74</v>
      </c>
      <c r="E140" s="15" t="s">
        <v>7</v>
      </c>
      <c r="H140" s="10"/>
      <c r="I140" s="10"/>
    </row>
    <row r="141" spans="1:9" x14ac:dyDescent="0.2">
      <c r="A141" s="10">
        <v>15714</v>
      </c>
      <c r="B141" s="11">
        <v>42048</v>
      </c>
      <c r="C141" s="12">
        <v>181.86</v>
      </c>
      <c r="D141" s="12">
        <v>13.86</v>
      </c>
      <c r="E141" s="15" t="s">
        <v>270</v>
      </c>
      <c r="H141" s="10"/>
      <c r="I141" s="10"/>
    </row>
    <row r="142" spans="1:9" x14ac:dyDescent="0.2">
      <c r="A142" s="10">
        <v>15715</v>
      </c>
      <c r="B142" s="11">
        <v>42048</v>
      </c>
      <c r="C142" s="12">
        <v>23</v>
      </c>
      <c r="D142" s="12"/>
      <c r="E142" s="15" t="s">
        <v>271</v>
      </c>
      <c r="F142" s="33">
        <f>+C130+C131+C133+C135+C138+C139+C140+180</f>
        <v>822.94</v>
      </c>
      <c r="G142" s="34">
        <v>807</v>
      </c>
      <c r="H142" s="10"/>
      <c r="I142" s="10"/>
    </row>
    <row r="143" spans="1:9" x14ac:dyDescent="0.2">
      <c r="A143" s="10">
        <v>15716</v>
      </c>
      <c r="B143" s="11">
        <v>42049</v>
      </c>
      <c r="C143" s="12">
        <v>18.349999999999998</v>
      </c>
      <c r="D143" s="12">
        <v>1.4</v>
      </c>
      <c r="E143" s="17"/>
      <c r="F143" s="18"/>
      <c r="G143" s="19"/>
      <c r="H143" s="12"/>
      <c r="I143" s="10"/>
    </row>
    <row r="144" spans="1:9" x14ac:dyDescent="0.2">
      <c r="A144" s="10">
        <v>15717</v>
      </c>
      <c r="B144" s="11">
        <v>42049</v>
      </c>
      <c r="C144" s="12">
        <v>11.85</v>
      </c>
      <c r="D144" s="12">
        <v>0.9</v>
      </c>
      <c r="E144" s="15" t="s">
        <v>11</v>
      </c>
      <c r="H144" s="10"/>
      <c r="I144" s="10"/>
    </row>
    <row r="145" spans="1:9" x14ac:dyDescent="0.2">
      <c r="A145" s="10">
        <v>15718</v>
      </c>
      <c r="B145" s="11">
        <v>42049</v>
      </c>
      <c r="C145" s="12">
        <v>384.29</v>
      </c>
      <c r="D145" s="12">
        <v>29.29</v>
      </c>
      <c r="E145" s="15" t="s">
        <v>13</v>
      </c>
      <c r="H145" s="10"/>
      <c r="I145" s="10"/>
    </row>
    <row r="146" spans="1:9" x14ac:dyDescent="0.2">
      <c r="A146" s="10">
        <v>15719</v>
      </c>
      <c r="B146" s="11">
        <v>42049</v>
      </c>
      <c r="C146" s="12">
        <v>80.11</v>
      </c>
      <c r="D146" s="12">
        <v>6.11</v>
      </c>
      <c r="E146" s="17"/>
      <c r="F146" s="18"/>
      <c r="G146" s="19"/>
      <c r="H146" s="12"/>
      <c r="I146" s="10"/>
    </row>
    <row r="147" spans="1:9" x14ac:dyDescent="0.2">
      <c r="A147" s="10">
        <v>15720</v>
      </c>
      <c r="B147" s="11">
        <v>42049</v>
      </c>
      <c r="C147" s="12">
        <v>106</v>
      </c>
      <c r="D147" s="12">
        <v>8.08</v>
      </c>
      <c r="E147" s="17"/>
      <c r="F147" s="18"/>
      <c r="G147" s="19"/>
      <c r="H147" s="12"/>
      <c r="I147" s="10"/>
    </row>
    <row r="148" spans="1:9" x14ac:dyDescent="0.2">
      <c r="A148" s="10">
        <v>15721</v>
      </c>
      <c r="B148" s="11">
        <v>42049</v>
      </c>
      <c r="C148" s="12">
        <v>11.91</v>
      </c>
      <c r="D148" s="12">
        <v>0.91</v>
      </c>
      <c r="E148" s="17"/>
      <c r="F148" s="115"/>
      <c r="G148" s="115"/>
      <c r="H148" s="12"/>
      <c r="I148" s="10"/>
    </row>
    <row r="149" spans="1:9" x14ac:dyDescent="0.2">
      <c r="A149" s="10">
        <v>15722</v>
      </c>
      <c r="B149" s="11">
        <v>42049</v>
      </c>
      <c r="C149" s="12">
        <v>139.63999999999999</v>
      </c>
      <c r="D149" s="12">
        <v>10.64</v>
      </c>
      <c r="E149" s="15" t="s">
        <v>11</v>
      </c>
      <c r="F149" s="21"/>
      <c r="G149" s="22"/>
      <c r="H149" s="10"/>
      <c r="I149" s="10"/>
    </row>
    <row r="150" spans="1:9" x14ac:dyDescent="0.2">
      <c r="A150" s="10">
        <v>15723</v>
      </c>
      <c r="B150" s="11">
        <v>42049</v>
      </c>
      <c r="C150" s="12">
        <v>19.489999999999998</v>
      </c>
      <c r="D150" s="12">
        <v>1.49</v>
      </c>
      <c r="E150" s="13"/>
      <c r="F150" s="18"/>
      <c r="G150" s="19"/>
      <c r="H150" s="12"/>
      <c r="I150" s="10"/>
    </row>
    <row r="151" spans="1:9" x14ac:dyDescent="0.2">
      <c r="A151" s="10">
        <v>15724</v>
      </c>
      <c r="B151" s="11">
        <v>42049</v>
      </c>
      <c r="C151" s="12">
        <v>24.979999999999997</v>
      </c>
      <c r="D151" s="12">
        <v>1.9</v>
      </c>
      <c r="E151" s="15" t="s">
        <v>11</v>
      </c>
      <c r="F151" s="21"/>
      <c r="G151" s="22"/>
      <c r="H151" s="10"/>
      <c r="I151" s="10"/>
    </row>
    <row r="152" spans="1:9" x14ac:dyDescent="0.2">
      <c r="A152" s="10">
        <v>15725</v>
      </c>
      <c r="B152" s="11">
        <v>42049</v>
      </c>
      <c r="C152" s="12">
        <v>3</v>
      </c>
      <c r="D152" s="12">
        <v>0.23</v>
      </c>
      <c r="E152" s="15" t="s">
        <v>11</v>
      </c>
      <c r="F152" s="21"/>
      <c r="G152" s="22"/>
      <c r="H152" s="10"/>
      <c r="I152" s="10"/>
    </row>
    <row r="153" spans="1:9" x14ac:dyDescent="0.2">
      <c r="A153" s="10">
        <v>15726</v>
      </c>
      <c r="B153" s="11">
        <v>42049</v>
      </c>
      <c r="C153" s="12">
        <v>17.75</v>
      </c>
      <c r="D153" s="12">
        <v>1.35</v>
      </c>
      <c r="E153" s="17"/>
      <c r="H153" s="12"/>
      <c r="I153" s="10"/>
    </row>
    <row r="154" spans="1:9" x14ac:dyDescent="0.2">
      <c r="A154" s="10">
        <v>15727</v>
      </c>
      <c r="B154" s="11">
        <v>42049</v>
      </c>
      <c r="C154" s="12">
        <v>20</v>
      </c>
      <c r="D154" s="12"/>
      <c r="E154" s="13" t="s">
        <v>77</v>
      </c>
      <c r="F154" s="33">
        <f>+C144+C145+278.74+C149+C151+C152+284.88</f>
        <v>1127.3800000000001</v>
      </c>
      <c r="G154" s="34">
        <v>1114.9100000000001</v>
      </c>
      <c r="H154" s="12"/>
      <c r="I154" s="10"/>
    </row>
    <row r="155" spans="1:9" x14ac:dyDescent="0.2">
      <c r="A155" s="10">
        <v>15728</v>
      </c>
      <c r="B155" s="11">
        <v>42051</v>
      </c>
      <c r="C155" s="12">
        <v>124.49</v>
      </c>
      <c r="D155" s="12">
        <v>9.49</v>
      </c>
      <c r="E155" s="15" t="s">
        <v>11</v>
      </c>
      <c r="F155" s="21"/>
      <c r="G155" s="22"/>
      <c r="H155" s="10"/>
      <c r="I155" s="10"/>
    </row>
    <row r="156" spans="1:9" x14ac:dyDescent="0.2">
      <c r="A156" s="10">
        <v>15729</v>
      </c>
      <c r="B156" s="11">
        <v>42051</v>
      </c>
      <c r="C156" s="12">
        <v>369.13</v>
      </c>
      <c r="D156" s="12">
        <v>28.13</v>
      </c>
      <c r="E156" s="15" t="s">
        <v>272</v>
      </c>
      <c r="F156" s="21"/>
      <c r="G156" s="22"/>
      <c r="H156" s="10"/>
      <c r="I156" s="10"/>
    </row>
    <row r="157" spans="1:9" x14ac:dyDescent="0.2">
      <c r="A157" s="10">
        <v>15730</v>
      </c>
      <c r="B157" s="11">
        <v>42051</v>
      </c>
      <c r="C157" s="12">
        <v>33.5</v>
      </c>
      <c r="D157" s="12">
        <v>2.5499999999999998</v>
      </c>
      <c r="E157" s="17"/>
      <c r="H157" s="12"/>
      <c r="I157" s="10"/>
    </row>
    <row r="158" spans="1:9" x14ac:dyDescent="0.2">
      <c r="A158" s="10">
        <v>15731</v>
      </c>
      <c r="B158" s="11">
        <v>42051</v>
      </c>
      <c r="C158" s="12">
        <v>28.04</v>
      </c>
      <c r="D158" s="12">
        <v>2.14</v>
      </c>
      <c r="E158" s="15" t="s">
        <v>11</v>
      </c>
      <c r="F158" s="21"/>
      <c r="G158" s="22"/>
      <c r="H158" s="10"/>
      <c r="I158" s="10"/>
    </row>
    <row r="159" spans="1:9" x14ac:dyDescent="0.2">
      <c r="A159" s="10">
        <v>15732</v>
      </c>
      <c r="B159" s="11">
        <v>42051</v>
      </c>
      <c r="C159" s="12">
        <v>43.19</v>
      </c>
      <c r="D159" s="12">
        <v>3.29</v>
      </c>
      <c r="E159" s="13"/>
      <c r="F159" s="18"/>
      <c r="G159" s="19"/>
      <c r="H159" s="12"/>
      <c r="I159" s="10"/>
    </row>
    <row r="160" spans="1:9" x14ac:dyDescent="0.2">
      <c r="A160" s="10">
        <v>15733</v>
      </c>
      <c r="B160" s="11">
        <v>42051</v>
      </c>
      <c r="C160" s="12">
        <v>115.69</v>
      </c>
      <c r="D160" s="12">
        <v>8.82</v>
      </c>
      <c r="E160" s="15" t="s">
        <v>11</v>
      </c>
      <c r="F160" s="21"/>
      <c r="G160" s="22"/>
      <c r="H160" s="10"/>
      <c r="I160" s="10"/>
    </row>
    <row r="161" spans="1:9" x14ac:dyDescent="0.2">
      <c r="A161" s="10">
        <v>15734</v>
      </c>
      <c r="B161" s="11">
        <v>42051</v>
      </c>
      <c r="C161" s="12">
        <v>48.71</v>
      </c>
      <c r="D161" s="12">
        <v>3.71</v>
      </c>
      <c r="E161" s="17"/>
      <c r="H161" s="12"/>
      <c r="I161" s="10"/>
    </row>
    <row r="162" spans="1:9" x14ac:dyDescent="0.2">
      <c r="A162" s="10">
        <v>15735</v>
      </c>
      <c r="B162" s="11">
        <v>42051</v>
      </c>
      <c r="C162" s="12">
        <v>33.56</v>
      </c>
      <c r="D162" s="12">
        <v>2.56</v>
      </c>
      <c r="E162" s="15" t="s">
        <v>7</v>
      </c>
      <c r="H162" s="10"/>
      <c r="I162" s="10"/>
    </row>
    <row r="163" spans="1:9" x14ac:dyDescent="0.2">
      <c r="A163" s="10">
        <v>15736</v>
      </c>
      <c r="B163" s="11">
        <v>42051</v>
      </c>
      <c r="C163" s="12">
        <v>-33.5</v>
      </c>
      <c r="D163" s="12">
        <v>-2.5499999999999998</v>
      </c>
      <c r="E163" s="17"/>
      <c r="H163" s="12"/>
      <c r="I163" s="10"/>
    </row>
    <row r="164" spans="1:9" x14ac:dyDescent="0.2">
      <c r="A164" s="10">
        <v>15737</v>
      </c>
      <c r="B164" s="11">
        <v>42051</v>
      </c>
      <c r="C164" s="12">
        <v>199.94</v>
      </c>
      <c r="D164" s="12">
        <v>15.24</v>
      </c>
      <c r="E164" s="17"/>
      <c r="H164" s="12"/>
      <c r="I164" s="10"/>
    </row>
    <row r="165" spans="1:9" x14ac:dyDescent="0.2">
      <c r="A165" s="10">
        <v>15738</v>
      </c>
      <c r="B165" s="11">
        <v>42051</v>
      </c>
      <c r="C165" s="12">
        <v>81.19</v>
      </c>
      <c r="D165" s="12">
        <v>6.19</v>
      </c>
      <c r="E165" s="17"/>
      <c r="F165" s="18"/>
      <c r="G165" s="19"/>
      <c r="H165" s="12"/>
      <c r="I165" s="10"/>
    </row>
    <row r="166" spans="1:9" x14ac:dyDescent="0.2">
      <c r="A166" s="10">
        <v>15739</v>
      </c>
      <c r="B166" s="11">
        <v>42051</v>
      </c>
      <c r="C166" s="12">
        <v>28.15</v>
      </c>
      <c r="D166" s="12">
        <v>2.15</v>
      </c>
      <c r="E166" s="15" t="s">
        <v>11</v>
      </c>
      <c r="F166" s="21"/>
      <c r="G166" s="22"/>
      <c r="H166" s="10"/>
      <c r="I166" s="10"/>
    </row>
    <row r="167" spans="1:9" x14ac:dyDescent="0.2">
      <c r="A167" s="10">
        <v>15740</v>
      </c>
      <c r="B167" s="11">
        <v>42051</v>
      </c>
      <c r="C167" s="12">
        <v>37.830000000000005</v>
      </c>
      <c r="D167" s="12">
        <v>2.88</v>
      </c>
      <c r="E167" s="17"/>
      <c r="H167" s="12"/>
      <c r="I167" s="10"/>
    </row>
    <row r="168" spans="1:9" x14ac:dyDescent="0.2">
      <c r="A168" s="10">
        <v>15741</v>
      </c>
      <c r="B168" s="11">
        <v>42051</v>
      </c>
      <c r="C168" s="12">
        <v>85.52</v>
      </c>
      <c r="D168" s="12">
        <v>6.52</v>
      </c>
      <c r="E168" s="15"/>
      <c r="F168" s="21"/>
      <c r="G168" s="22"/>
      <c r="H168" s="10"/>
      <c r="I168" s="10"/>
    </row>
    <row r="169" spans="1:9" x14ac:dyDescent="0.2">
      <c r="A169" s="10">
        <v>15742</v>
      </c>
      <c r="B169" s="11">
        <v>42051</v>
      </c>
      <c r="C169" s="12">
        <v>27.06</v>
      </c>
      <c r="D169" s="12">
        <v>2.06</v>
      </c>
      <c r="E169" s="15" t="s">
        <v>26</v>
      </c>
      <c r="H169" s="10"/>
      <c r="I169" s="10"/>
    </row>
    <row r="170" spans="1:9" x14ac:dyDescent="0.2">
      <c r="A170" s="10">
        <v>15743</v>
      </c>
      <c r="B170" s="11">
        <v>42051</v>
      </c>
      <c r="C170" s="12">
        <v>17.32</v>
      </c>
      <c r="D170" s="12">
        <v>1.32</v>
      </c>
      <c r="E170" s="17"/>
      <c r="F170" s="18"/>
      <c r="G170" s="19"/>
      <c r="H170" s="12"/>
      <c r="I170" s="10"/>
    </row>
    <row r="171" spans="1:9" x14ac:dyDescent="0.2">
      <c r="A171" s="10">
        <v>15744</v>
      </c>
      <c r="B171" s="11">
        <v>42051</v>
      </c>
      <c r="C171" s="12">
        <v>159.99</v>
      </c>
      <c r="D171" s="12">
        <v>12.19</v>
      </c>
      <c r="E171" s="17"/>
      <c r="F171" s="18"/>
      <c r="G171" s="19"/>
      <c r="H171" s="12"/>
      <c r="I171" s="10"/>
    </row>
    <row r="172" spans="1:9" x14ac:dyDescent="0.2">
      <c r="A172" s="10">
        <v>15745</v>
      </c>
      <c r="B172" s="11">
        <v>42051</v>
      </c>
      <c r="C172" s="12">
        <v>86.55</v>
      </c>
      <c r="D172" s="12">
        <v>6.6</v>
      </c>
      <c r="E172" s="17"/>
      <c r="F172" s="18"/>
      <c r="G172" s="19"/>
      <c r="H172" s="12"/>
      <c r="I172" s="10"/>
    </row>
    <row r="173" spans="1:9" x14ac:dyDescent="0.2">
      <c r="A173" s="10">
        <v>15746</v>
      </c>
      <c r="B173" s="11">
        <v>42051</v>
      </c>
      <c r="C173" s="12">
        <v>37.89</v>
      </c>
      <c r="D173" s="12">
        <v>2.89</v>
      </c>
      <c r="E173" s="15" t="s">
        <v>23</v>
      </c>
      <c r="F173" s="21"/>
      <c r="G173" s="22"/>
      <c r="H173" s="10"/>
      <c r="I173" s="10"/>
    </row>
    <row r="174" spans="1:9" x14ac:dyDescent="0.2">
      <c r="A174" s="10">
        <v>15747</v>
      </c>
      <c r="B174" s="11">
        <v>42051</v>
      </c>
      <c r="C174" s="12">
        <v>297.41000000000003</v>
      </c>
      <c r="D174" s="12">
        <v>22.67</v>
      </c>
      <c r="E174" s="15" t="s">
        <v>7</v>
      </c>
      <c r="H174" s="10"/>
      <c r="I174" s="10"/>
    </row>
    <row r="175" spans="1:9" x14ac:dyDescent="0.2">
      <c r="A175" s="10">
        <v>15748</v>
      </c>
      <c r="B175" s="11">
        <v>42051</v>
      </c>
      <c r="C175" s="12">
        <v>23.82</v>
      </c>
      <c r="D175" s="12">
        <v>1.82</v>
      </c>
      <c r="E175" s="17"/>
      <c r="H175" s="12"/>
      <c r="I175" s="10"/>
    </row>
    <row r="176" spans="1:9" x14ac:dyDescent="0.2">
      <c r="A176" s="10">
        <v>15749</v>
      </c>
      <c r="B176" s="11">
        <v>42051</v>
      </c>
      <c r="C176" s="12">
        <v>0</v>
      </c>
      <c r="D176" s="12"/>
      <c r="E176" s="13" t="s">
        <v>273</v>
      </c>
      <c r="F176" s="33">
        <f>+C155+150+C158+C160+C162+28.71+C166+C173+C174+85.52</f>
        <v>929.46</v>
      </c>
      <c r="G176" s="34">
        <v>915.97</v>
      </c>
      <c r="H176" s="12"/>
      <c r="I176" s="10"/>
    </row>
    <row r="177" spans="1:9" x14ac:dyDescent="0.2">
      <c r="A177" s="10">
        <v>15750</v>
      </c>
      <c r="B177" s="11">
        <v>42052</v>
      </c>
      <c r="C177" s="12">
        <v>78</v>
      </c>
      <c r="D177" s="12"/>
      <c r="E177" s="15" t="s">
        <v>235</v>
      </c>
      <c r="F177" s="21"/>
      <c r="G177" s="22"/>
      <c r="H177" s="10"/>
      <c r="I177" s="10"/>
    </row>
    <row r="178" spans="1:9" x14ac:dyDescent="0.2">
      <c r="A178" s="10">
        <v>15751</v>
      </c>
      <c r="B178" s="11">
        <v>42052</v>
      </c>
      <c r="C178" s="12">
        <v>98</v>
      </c>
      <c r="D178" s="12"/>
      <c r="E178" s="15" t="s">
        <v>235</v>
      </c>
      <c r="F178" s="21"/>
      <c r="G178" s="22"/>
      <c r="H178" s="10"/>
      <c r="I178" s="10"/>
    </row>
    <row r="179" spans="1:9" x14ac:dyDescent="0.2">
      <c r="A179" s="10">
        <v>15752</v>
      </c>
      <c r="B179" s="11">
        <v>42052</v>
      </c>
      <c r="C179" s="12">
        <v>323.56</v>
      </c>
      <c r="D179" s="12">
        <v>24.66</v>
      </c>
      <c r="E179" s="15" t="s">
        <v>11</v>
      </c>
      <c r="H179" s="10"/>
      <c r="I179" s="10"/>
    </row>
    <row r="180" spans="1:9" x14ac:dyDescent="0.2">
      <c r="A180" s="10">
        <v>15753</v>
      </c>
      <c r="B180" s="11">
        <v>42052</v>
      </c>
      <c r="C180" s="12">
        <v>333.41</v>
      </c>
      <c r="D180" s="12">
        <v>25.41</v>
      </c>
      <c r="E180" s="15"/>
      <c r="H180" s="10"/>
      <c r="I180" s="10"/>
    </row>
    <row r="181" spans="1:9" x14ac:dyDescent="0.2">
      <c r="A181" s="10">
        <v>15754</v>
      </c>
      <c r="B181" s="11">
        <v>42052</v>
      </c>
      <c r="C181" s="12">
        <v>146.13999999999999</v>
      </c>
      <c r="D181" s="12">
        <v>11.14</v>
      </c>
      <c r="E181" s="15" t="s">
        <v>11</v>
      </c>
      <c r="F181" s="33">
        <f>323.56+C181</f>
        <v>469.7</v>
      </c>
      <c r="G181" s="34">
        <v>467.46</v>
      </c>
      <c r="H181" s="10"/>
      <c r="I181" s="10"/>
    </row>
    <row r="182" spans="1:9" x14ac:dyDescent="0.2">
      <c r="A182" s="10">
        <v>15755</v>
      </c>
      <c r="B182" s="11">
        <v>42053</v>
      </c>
      <c r="C182" s="12">
        <v>32.479999999999997</v>
      </c>
      <c r="D182" s="12">
        <v>2.48</v>
      </c>
      <c r="E182" s="17"/>
      <c r="H182" s="12"/>
      <c r="I182" s="10"/>
    </row>
    <row r="183" spans="1:9" x14ac:dyDescent="0.2">
      <c r="A183" s="10">
        <v>15756</v>
      </c>
      <c r="B183" s="11">
        <v>42053</v>
      </c>
      <c r="C183" s="12">
        <v>12.94</v>
      </c>
      <c r="D183" s="12">
        <v>0.99</v>
      </c>
      <c r="E183" s="15" t="s">
        <v>11</v>
      </c>
      <c r="H183" s="10"/>
      <c r="I183" s="10"/>
    </row>
    <row r="184" spans="1:9" x14ac:dyDescent="0.2">
      <c r="A184" s="10">
        <v>15757</v>
      </c>
      <c r="B184" s="11">
        <v>42053</v>
      </c>
      <c r="C184" s="12">
        <v>24.9</v>
      </c>
      <c r="D184" s="12">
        <v>1.9</v>
      </c>
      <c r="E184" s="17"/>
      <c r="F184" s="18"/>
      <c r="G184" s="19"/>
      <c r="H184" s="12"/>
      <c r="I184" s="10"/>
    </row>
    <row r="185" spans="1:9" x14ac:dyDescent="0.2">
      <c r="A185" s="10">
        <v>15758</v>
      </c>
      <c r="B185" s="11">
        <v>42053</v>
      </c>
      <c r="C185" s="12">
        <v>10</v>
      </c>
      <c r="D185" s="12"/>
      <c r="E185" s="13" t="s">
        <v>69</v>
      </c>
      <c r="F185" s="18"/>
      <c r="G185" s="19"/>
      <c r="H185" s="12"/>
      <c r="I185" s="10"/>
    </row>
    <row r="186" spans="1:9" x14ac:dyDescent="0.2">
      <c r="A186" s="10">
        <v>15759</v>
      </c>
      <c r="B186" s="11">
        <v>42053</v>
      </c>
      <c r="C186" s="12">
        <v>48.71</v>
      </c>
      <c r="D186" s="12">
        <v>3.71</v>
      </c>
      <c r="E186" s="15" t="s">
        <v>7</v>
      </c>
      <c r="H186" s="10"/>
      <c r="I186" s="10"/>
    </row>
    <row r="187" spans="1:9" x14ac:dyDescent="0.2">
      <c r="A187" s="10">
        <v>15760</v>
      </c>
      <c r="B187" s="11">
        <v>42053</v>
      </c>
      <c r="C187" s="12">
        <v>388.62</v>
      </c>
      <c r="D187" s="12">
        <v>29.62</v>
      </c>
      <c r="E187" s="15" t="s">
        <v>11</v>
      </c>
      <c r="H187" s="10"/>
      <c r="I187" s="10"/>
    </row>
    <row r="188" spans="1:9" x14ac:dyDescent="0.2">
      <c r="A188" s="10">
        <v>15761</v>
      </c>
      <c r="B188" s="11">
        <v>42053</v>
      </c>
      <c r="C188" s="12">
        <v>48.820000000000007</v>
      </c>
      <c r="D188" s="12">
        <v>3.72</v>
      </c>
      <c r="E188" s="17"/>
      <c r="H188" s="12"/>
      <c r="I188" s="10"/>
    </row>
    <row r="189" spans="1:9" x14ac:dyDescent="0.2">
      <c r="A189" s="10">
        <v>15762</v>
      </c>
      <c r="B189" s="11">
        <v>42053</v>
      </c>
      <c r="C189" s="12">
        <v>66.03</v>
      </c>
      <c r="D189" s="12">
        <v>5.03</v>
      </c>
      <c r="E189" s="15" t="s">
        <v>11</v>
      </c>
      <c r="H189" s="10"/>
      <c r="I189" s="10"/>
    </row>
    <row r="190" spans="1:9" x14ac:dyDescent="0.2">
      <c r="A190" s="10">
        <v>15763</v>
      </c>
      <c r="B190" s="11">
        <v>42053</v>
      </c>
      <c r="C190" s="12">
        <v>211.09</v>
      </c>
      <c r="D190" s="12">
        <v>16.09</v>
      </c>
      <c r="E190" s="15" t="s">
        <v>26</v>
      </c>
      <c r="F190" s="33">
        <f>+C183+C186+190+27.06+C189</f>
        <v>344.74</v>
      </c>
      <c r="G190" s="34">
        <v>338.01</v>
      </c>
      <c r="H190" s="10"/>
      <c r="I190" s="10"/>
    </row>
    <row r="191" spans="1:9" x14ac:dyDescent="0.2">
      <c r="A191" s="10">
        <v>15764</v>
      </c>
      <c r="B191" s="11">
        <v>42054</v>
      </c>
      <c r="C191" s="12">
        <v>17.32</v>
      </c>
      <c r="D191" s="12">
        <v>1.32</v>
      </c>
      <c r="E191" s="15" t="s">
        <v>7</v>
      </c>
      <c r="H191" s="10"/>
      <c r="I191" s="10"/>
    </row>
    <row r="192" spans="1:9" x14ac:dyDescent="0.2">
      <c r="A192" s="10">
        <v>15765</v>
      </c>
      <c r="B192" s="11">
        <v>42054</v>
      </c>
      <c r="C192" s="12">
        <v>49.8</v>
      </c>
      <c r="D192" s="12">
        <v>3.8</v>
      </c>
      <c r="E192" s="15" t="s">
        <v>11</v>
      </c>
      <c r="H192" s="10"/>
      <c r="I192" s="10"/>
    </row>
    <row r="193" spans="1:9" x14ac:dyDescent="0.2">
      <c r="A193" s="10">
        <v>15766</v>
      </c>
      <c r="B193" s="11">
        <v>42054</v>
      </c>
      <c r="C193" s="12">
        <v>119.08</v>
      </c>
      <c r="D193" s="12">
        <v>9.08</v>
      </c>
      <c r="E193" s="17"/>
      <c r="F193" s="18"/>
      <c r="G193" s="19"/>
      <c r="H193" s="12"/>
      <c r="I193" s="10"/>
    </row>
    <row r="194" spans="1:9" x14ac:dyDescent="0.2">
      <c r="A194" s="10">
        <v>15767</v>
      </c>
      <c r="B194" s="11">
        <v>42054</v>
      </c>
      <c r="C194" s="12">
        <v>235.5</v>
      </c>
      <c r="D194" s="12"/>
      <c r="E194" s="17"/>
      <c r="F194" s="18"/>
      <c r="G194" s="19"/>
      <c r="H194" s="12"/>
      <c r="I194" s="10"/>
    </row>
    <row r="195" spans="1:9" x14ac:dyDescent="0.2">
      <c r="A195" s="10">
        <v>15768</v>
      </c>
      <c r="B195" s="11">
        <v>42054</v>
      </c>
      <c r="C195" s="12">
        <v>242.16</v>
      </c>
      <c r="D195" s="12">
        <v>18.46</v>
      </c>
      <c r="E195" s="15" t="s">
        <v>274</v>
      </c>
      <c r="F195" s="21"/>
      <c r="G195" s="22"/>
      <c r="H195" s="10"/>
      <c r="I195" s="10"/>
    </row>
    <row r="196" spans="1:9" x14ac:dyDescent="0.2">
      <c r="A196" s="10">
        <v>15769</v>
      </c>
      <c r="B196" s="11">
        <v>42054</v>
      </c>
      <c r="C196" s="12">
        <v>36.1</v>
      </c>
      <c r="D196" s="12">
        <v>2.75</v>
      </c>
      <c r="E196" s="13"/>
      <c r="F196" s="18"/>
      <c r="G196" s="19"/>
      <c r="H196" s="12"/>
      <c r="I196" s="10"/>
    </row>
    <row r="197" spans="1:9" x14ac:dyDescent="0.2">
      <c r="A197" s="10">
        <v>15770</v>
      </c>
      <c r="B197" s="11">
        <v>42054</v>
      </c>
      <c r="C197" s="12">
        <v>536.91999999999996</v>
      </c>
      <c r="D197" s="12">
        <v>40.92</v>
      </c>
      <c r="E197" s="15" t="s">
        <v>7</v>
      </c>
      <c r="H197" s="10"/>
      <c r="I197" s="10"/>
    </row>
    <row r="198" spans="1:9" x14ac:dyDescent="0.2">
      <c r="A198" s="10">
        <v>15771</v>
      </c>
      <c r="B198" s="11">
        <v>42054</v>
      </c>
      <c r="C198" s="12">
        <v>28.15</v>
      </c>
      <c r="D198" s="12">
        <v>2.15</v>
      </c>
      <c r="E198" s="17"/>
      <c r="F198" s="18"/>
      <c r="G198" s="19"/>
      <c r="H198" s="12"/>
      <c r="I198" s="10"/>
    </row>
    <row r="199" spans="1:9" x14ac:dyDescent="0.2">
      <c r="A199" s="10">
        <v>15772</v>
      </c>
      <c r="B199" s="11">
        <v>42054</v>
      </c>
      <c r="C199" s="12">
        <v>32.479999999999997</v>
      </c>
      <c r="D199" s="12">
        <v>2.48</v>
      </c>
      <c r="E199" s="15" t="s">
        <v>11</v>
      </c>
      <c r="H199" s="10"/>
      <c r="I199" s="10"/>
    </row>
    <row r="200" spans="1:9" x14ac:dyDescent="0.2">
      <c r="A200" s="10">
        <v>15773</v>
      </c>
      <c r="B200" s="11">
        <v>42054</v>
      </c>
      <c r="C200" s="12">
        <v>224.62</v>
      </c>
      <c r="D200" s="12">
        <v>17.12</v>
      </c>
      <c r="E200" s="15" t="s">
        <v>11</v>
      </c>
      <c r="H200" s="10"/>
      <c r="I200" s="10"/>
    </row>
    <row r="201" spans="1:9" x14ac:dyDescent="0.2">
      <c r="A201" s="10">
        <v>15774</v>
      </c>
      <c r="B201" s="11">
        <v>42054</v>
      </c>
      <c r="C201" s="12">
        <v>94.18</v>
      </c>
      <c r="D201" s="12">
        <v>7.18</v>
      </c>
      <c r="E201" s="17"/>
      <c r="H201" s="12"/>
      <c r="I201" s="10"/>
    </row>
    <row r="202" spans="1:9" x14ac:dyDescent="0.2">
      <c r="A202" s="10">
        <v>15775</v>
      </c>
      <c r="B202" s="11">
        <v>42054</v>
      </c>
      <c r="C202" s="12">
        <v>57</v>
      </c>
      <c r="D202" s="12">
        <v>4.34</v>
      </c>
      <c r="E202" s="17"/>
      <c r="H202" s="12"/>
      <c r="I202" s="10"/>
    </row>
    <row r="203" spans="1:9" x14ac:dyDescent="0.2">
      <c r="A203" s="10">
        <v>15776</v>
      </c>
      <c r="B203" s="11">
        <v>42054</v>
      </c>
      <c r="C203" s="12">
        <v>27</v>
      </c>
      <c r="D203" s="12">
        <v>2.06</v>
      </c>
      <c r="E203" s="17"/>
      <c r="H203" s="12"/>
      <c r="I203" s="10"/>
    </row>
    <row r="204" spans="1:9" x14ac:dyDescent="0.2">
      <c r="A204" s="10">
        <v>15777</v>
      </c>
      <c r="B204" s="11">
        <v>42054</v>
      </c>
      <c r="C204" s="12">
        <v>234</v>
      </c>
      <c r="D204" s="12"/>
      <c r="E204" s="13" t="s">
        <v>8</v>
      </c>
      <c r="F204" s="18"/>
      <c r="G204" s="19"/>
      <c r="H204" s="12"/>
      <c r="I204" s="10"/>
    </row>
    <row r="205" spans="1:9" x14ac:dyDescent="0.2">
      <c r="A205" s="10">
        <v>15778</v>
      </c>
      <c r="B205" s="11">
        <v>42054</v>
      </c>
      <c r="C205" s="12">
        <v>23.380000000000003</v>
      </c>
      <c r="D205" s="12">
        <v>1.78</v>
      </c>
      <c r="E205" s="15" t="s">
        <v>11</v>
      </c>
      <c r="F205" s="21"/>
      <c r="G205" s="22"/>
      <c r="H205" s="10"/>
      <c r="I205" s="10"/>
    </row>
    <row r="206" spans="1:9" x14ac:dyDescent="0.2">
      <c r="A206" s="10">
        <v>15779</v>
      </c>
      <c r="B206" s="11">
        <v>42054</v>
      </c>
      <c r="C206" s="12">
        <v>23.380000000000003</v>
      </c>
      <c r="D206" s="12">
        <v>1.78</v>
      </c>
      <c r="E206" s="15" t="s">
        <v>11</v>
      </c>
      <c r="F206" s="33">
        <f>+C191+C192+219.13+100+C197+C199+C200+C205+C206</f>
        <v>1227.0300000000002</v>
      </c>
      <c r="G206" s="34">
        <v>1217.6400000000001</v>
      </c>
      <c r="H206" s="10"/>
      <c r="I206" s="10"/>
    </row>
    <row r="207" spans="1:9" x14ac:dyDescent="0.2">
      <c r="A207" s="10">
        <v>15780</v>
      </c>
      <c r="B207" s="11">
        <v>42055</v>
      </c>
      <c r="C207" s="12">
        <v>80</v>
      </c>
      <c r="D207" s="12">
        <v>6.1</v>
      </c>
      <c r="E207" s="17"/>
      <c r="H207" s="12"/>
      <c r="I207" s="10"/>
    </row>
    <row r="208" spans="1:9" x14ac:dyDescent="0.2">
      <c r="A208" s="10">
        <v>15781</v>
      </c>
      <c r="B208" s="11">
        <v>42055</v>
      </c>
      <c r="C208" s="12">
        <v>254.39</v>
      </c>
      <c r="D208" s="12">
        <v>19.39</v>
      </c>
      <c r="E208" s="17"/>
      <c r="F208" s="18"/>
      <c r="G208" s="19"/>
      <c r="H208" s="12"/>
      <c r="I208" s="10"/>
    </row>
    <row r="209" spans="1:9" x14ac:dyDescent="0.2">
      <c r="A209" s="10">
        <v>15782</v>
      </c>
      <c r="B209" s="11">
        <v>42055</v>
      </c>
      <c r="C209" s="12">
        <v>44</v>
      </c>
      <c r="D209" s="12"/>
      <c r="E209" s="13" t="s">
        <v>71</v>
      </c>
      <c r="F209" s="18"/>
      <c r="G209" s="19"/>
      <c r="H209" s="12"/>
      <c r="I209" s="10"/>
    </row>
    <row r="210" spans="1:9" x14ac:dyDescent="0.2">
      <c r="A210" s="10">
        <v>15783</v>
      </c>
      <c r="B210" s="11">
        <v>42055</v>
      </c>
      <c r="C210" s="12">
        <v>233.28</v>
      </c>
      <c r="D210" s="12">
        <v>17.78</v>
      </c>
      <c r="E210" s="15" t="s">
        <v>7</v>
      </c>
      <c r="H210" s="10"/>
      <c r="I210" s="10"/>
    </row>
    <row r="211" spans="1:9" x14ac:dyDescent="0.2">
      <c r="A211" s="10">
        <v>15784</v>
      </c>
      <c r="B211" s="11">
        <v>42055</v>
      </c>
      <c r="C211" s="12">
        <v>8.52</v>
      </c>
      <c r="D211" s="12"/>
      <c r="E211" s="15" t="s">
        <v>11</v>
      </c>
      <c r="F211" s="21"/>
      <c r="G211" s="22"/>
      <c r="H211" s="10"/>
      <c r="I211" s="10"/>
    </row>
    <row r="212" spans="1:9" x14ac:dyDescent="0.2">
      <c r="A212" s="10">
        <v>15785</v>
      </c>
      <c r="B212" s="11">
        <v>42055</v>
      </c>
      <c r="C212" s="12">
        <v>30.04</v>
      </c>
      <c r="D212" s="12">
        <v>2.29</v>
      </c>
      <c r="E212" s="15" t="s">
        <v>11</v>
      </c>
      <c r="F212" s="21"/>
      <c r="G212" s="22"/>
      <c r="H212" s="10"/>
      <c r="I212" s="10"/>
    </row>
    <row r="213" spans="1:9" x14ac:dyDescent="0.2">
      <c r="A213" s="10">
        <v>15786</v>
      </c>
      <c r="B213" s="11">
        <v>42055</v>
      </c>
      <c r="C213" s="12">
        <v>158.05000000000001</v>
      </c>
      <c r="D213" s="12">
        <v>12.05</v>
      </c>
      <c r="E213" s="15" t="s">
        <v>11</v>
      </c>
      <c r="H213" s="10"/>
      <c r="I213" s="10"/>
    </row>
    <row r="214" spans="1:9" x14ac:dyDescent="0.2">
      <c r="A214" s="10">
        <v>15787</v>
      </c>
      <c r="B214" s="11">
        <v>42055</v>
      </c>
      <c r="C214" s="12">
        <v>18.399999999999999</v>
      </c>
      <c r="D214" s="12">
        <v>1.4</v>
      </c>
      <c r="E214" s="17"/>
      <c r="H214" s="12"/>
      <c r="I214" s="10"/>
    </row>
    <row r="215" spans="1:9" x14ac:dyDescent="0.2">
      <c r="A215" s="10">
        <v>15788</v>
      </c>
      <c r="B215" s="11">
        <v>42055</v>
      </c>
      <c r="C215" s="12">
        <v>29.23</v>
      </c>
      <c r="D215" s="12">
        <v>2.23</v>
      </c>
      <c r="E215" s="17"/>
      <c r="F215" s="18"/>
      <c r="G215" s="19"/>
      <c r="H215" s="12"/>
      <c r="I215" s="10"/>
    </row>
    <row r="216" spans="1:9" x14ac:dyDescent="0.2">
      <c r="A216" s="10">
        <v>15789</v>
      </c>
      <c r="B216" s="11">
        <v>42055</v>
      </c>
      <c r="C216" s="12">
        <v>86.1</v>
      </c>
      <c r="D216" s="12">
        <v>6.55</v>
      </c>
      <c r="E216" s="15" t="s">
        <v>7</v>
      </c>
      <c r="H216" s="10"/>
      <c r="I216" s="10"/>
    </row>
    <row r="217" spans="1:9" x14ac:dyDescent="0.2">
      <c r="A217" s="10">
        <v>15790</v>
      </c>
      <c r="B217" s="11">
        <v>42055</v>
      </c>
      <c r="C217" s="12">
        <v>175</v>
      </c>
      <c r="D217" s="12">
        <v>13.34</v>
      </c>
      <c r="E217" s="15" t="s">
        <v>11</v>
      </c>
      <c r="H217" s="10"/>
      <c r="I217" s="10"/>
    </row>
    <row r="218" spans="1:9" x14ac:dyDescent="0.2">
      <c r="A218" s="10">
        <v>15791</v>
      </c>
      <c r="B218" s="11">
        <v>42055</v>
      </c>
      <c r="C218" s="12">
        <v>86.6</v>
      </c>
      <c r="D218" s="12">
        <v>6.6</v>
      </c>
      <c r="E218" s="15" t="s">
        <v>11</v>
      </c>
      <c r="H218" s="10"/>
      <c r="I218" s="10"/>
    </row>
    <row r="219" spans="1:9" x14ac:dyDescent="0.2">
      <c r="A219" s="10">
        <v>15792</v>
      </c>
      <c r="B219" s="11">
        <v>42055</v>
      </c>
      <c r="C219" s="12">
        <v>17</v>
      </c>
      <c r="D219" s="12">
        <v>1.3</v>
      </c>
      <c r="E219" s="15" t="s">
        <v>11</v>
      </c>
      <c r="F219" s="33">
        <f>+C210+C211+C213+C212+1.86+C216+C218+C217+C219+231.66</f>
        <v>1028.1100000000001</v>
      </c>
      <c r="G219" s="34">
        <v>1016.8</v>
      </c>
      <c r="H219" s="10"/>
      <c r="I219" s="10"/>
    </row>
    <row r="220" spans="1:9" x14ac:dyDescent="0.2">
      <c r="A220" s="10">
        <v>15793</v>
      </c>
      <c r="B220" s="11">
        <v>42056</v>
      </c>
      <c r="C220" s="12">
        <v>29.23</v>
      </c>
      <c r="D220" s="12">
        <v>2.23</v>
      </c>
      <c r="E220" s="15" t="s">
        <v>11</v>
      </c>
      <c r="F220" s="21"/>
      <c r="G220" s="22"/>
      <c r="H220" s="10"/>
      <c r="I220" s="10"/>
    </row>
    <row r="221" spans="1:9" x14ac:dyDescent="0.2">
      <c r="A221" s="10">
        <v>15794</v>
      </c>
      <c r="B221" s="11">
        <v>42056</v>
      </c>
      <c r="C221" s="12">
        <v>17.27</v>
      </c>
      <c r="D221" s="12">
        <v>1.32</v>
      </c>
      <c r="E221" s="15" t="s">
        <v>11</v>
      </c>
      <c r="F221" s="21"/>
      <c r="G221" s="22"/>
      <c r="H221" s="10"/>
      <c r="I221" s="10"/>
    </row>
    <row r="222" spans="1:9" x14ac:dyDescent="0.2">
      <c r="A222" s="10">
        <v>15795</v>
      </c>
      <c r="B222" s="11">
        <v>42056</v>
      </c>
      <c r="C222" s="12">
        <v>11.62</v>
      </c>
      <c r="D222" s="12"/>
      <c r="E222" s="13" t="s">
        <v>263</v>
      </c>
      <c r="H222" s="12"/>
      <c r="I222" s="10"/>
    </row>
    <row r="223" spans="1:9" x14ac:dyDescent="0.2">
      <c r="A223" s="10">
        <v>15796</v>
      </c>
      <c r="B223" s="11">
        <v>42056</v>
      </c>
      <c r="C223" s="12">
        <v>37.830000000000005</v>
      </c>
      <c r="D223" s="12">
        <v>2.88</v>
      </c>
      <c r="E223" s="17"/>
      <c r="F223" s="18"/>
      <c r="G223" s="19"/>
      <c r="H223" s="12"/>
      <c r="I223" s="10"/>
    </row>
    <row r="224" spans="1:9" x14ac:dyDescent="0.2">
      <c r="A224" s="10">
        <v>15797</v>
      </c>
      <c r="B224" s="11">
        <v>42056</v>
      </c>
      <c r="C224" s="12">
        <v>93.690000000000012</v>
      </c>
      <c r="D224" s="12">
        <v>7.14</v>
      </c>
      <c r="E224" s="15" t="s">
        <v>11</v>
      </c>
      <c r="H224" s="10"/>
      <c r="I224" s="10"/>
    </row>
    <row r="225" spans="1:9" x14ac:dyDescent="0.2">
      <c r="A225" s="10">
        <v>15798</v>
      </c>
      <c r="B225" s="11">
        <v>42056</v>
      </c>
      <c r="C225" s="12">
        <v>28.15</v>
      </c>
      <c r="D225" s="12">
        <v>2.15</v>
      </c>
      <c r="E225" s="15" t="s">
        <v>11</v>
      </c>
      <c r="F225" s="21"/>
      <c r="G225" s="22"/>
      <c r="H225" s="10"/>
      <c r="I225" s="10"/>
    </row>
    <row r="226" spans="1:9" x14ac:dyDescent="0.2">
      <c r="A226" s="10">
        <v>15799</v>
      </c>
      <c r="B226" s="11">
        <v>42056</v>
      </c>
      <c r="C226" s="12">
        <v>199.72</v>
      </c>
      <c r="D226" s="12">
        <v>15.22</v>
      </c>
      <c r="E226" s="15" t="s">
        <v>11</v>
      </c>
      <c r="H226" s="10"/>
      <c r="I226" s="10"/>
    </row>
    <row r="227" spans="1:9" x14ac:dyDescent="0.2">
      <c r="A227" s="10">
        <v>15800</v>
      </c>
      <c r="B227" s="11">
        <v>42056</v>
      </c>
      <c r="C227" s="12">
        <v>164.54</v>
      </c>
      <c r="D227" s="12">
        <v>12.54</v>
      </c>
      <c r="E227" s="15" t="s">
        <v>11</v>
      </c>
      <c r="F227" s="21"/>
      <c r="G227" s="22"/>
      <c r="H227" s="10"/>
      <c r="I227" s="10"/>
    </row>
    <row r="228" spans="1:9" x14ac:dyDescent="0.2">
      <c r="A228" s="10">
        <v>15801</v>
      </c>
      <c r="B228" s="11">
        <v>42056</v>
      </c>
      <c r="C228" s="12">
        <v>26</v>
      </c>
      <c r="D228" s="12">
        <v>1.98</v>
      </c>
      <c r="E228" s="15" t="s">
        <v>11</v>
      </c>
      <c r="F228" s="21"/>
      <c r="G228" s="22"/>
      <c r="H228" s="10"/>
      <c r="I228" s="10"/>
    </row>
    <row r="229" spans="1:9" x14ac:dyDescent="0.2">
      <c r="A229" s="10">
        <v>15802</v>
      </c>
      <c r="B229" s="11">
        <v>42056</v>
      </c>
      <c r="C229" s="12">
        <v>135.15</v>
      </c>
      <c r="D229" s="12">
        <v>10.3</v>
      </c>
      <c r="E229" s="13"/>
      <c r="H229" s="12"/>
      <c r="I229" s="10"/>
    </row>
    <row r="230" spans="1:9" x14ac:dyDescent="0.2">
      <c r="A230" s="10">
        <v>15803</v>
      </c>
      <c r="B230" s="11">
        <v>42056</v>
      </c>
      <c r="C230" s="12">
        <v>21.65</v>
      </c>
      <c r="D230" s="12">
        <v>1.65</v>
      </c>
      <c r="E230" s="15" t="s">
        <v>275</v>
      </c>
      <c r="F230" s="21"/>
      <c r="G230" s="22"/>
      <c r="H230" s="10"/>
      <c r="I230" s="10"/>
    </row>
    <row r="231" spans="1:9" x14ac:dyDescent="0.2">
      <c r="A231" s="10">
        <v>15804</v>
      </c>
      <c r="B231" s="11">
        <v>42056</v>
      </c>
      <c r="C231" s="12">
        <v>43.25</v>
      </c>
      <c r="D231" s="12">
        <v>3.3</v>
      </c>
      <c r="E231" s="15" t="s">
        <v>11</v>
      </c>
      <c r="F231" s="21"/>
      <c r="G231" s="22"/>
      <c r="H231" s="10"/>
      <c r="I231" s="10"/>
    </row>
    <row r="232" spans="1:9" x14ac:dyDescent="0.2">
      <c r="A232" s="10">
        <v>15805</v>
      </c>
      <c r="B232" s="11">
        <v>42056</v>
      </c>
      <c r="C232" s="12">
        <v>184.5</v>
      </c>
      <c r="D232" s="12"/>
      <c r="E232" s="15" t="s">
        <v>7</v>
      </c>
      <c r="H232" s="10"/>
      <c r="I232" s="10"/>
    </row>
    <row r="233" spans="1:9" x14ac:dyDescent="0.2">
      <c r="A233" s="10">
        <v>15806</v>
      </c>
      <c r="B233" s="11">
        <v>42056</v>
      </c>
      <c r="C233" s="12">
        <v>6</v>
      </c>
      <c r="D233" s="12"/>
      <c r="E233" s="13" t="s">
        <v>71</v>
      </c>
      <c r="F233" s="18"/>
      <c r="G233" s="19"/>
      <c r="H233" s="12"/>
      <c r="I233" s="10"/>
    </row>
    <row r="234" spans="1:9" x14ac:dyDescent="0.2">
      <c r="A234" s="10">
        <v>15807</v>
      </c>
      <c r="B234" s="11">
        <v>42056</v>
      </c>
      <c r="C234" s="12">
        <v>133.15</v>
      </c>
      <c r="D234" s="12">
        <v>10.15</v>
      </c>
      <c r="E234" s="15" t="s">
        <v>268</v>
      </c>
      <c r="H234" s="10"/>
      <c r="I234" s="10"/>
    </row>
    <row r="235" spans="1:9" x14ac:dyDescent="0.2">
      <c r="A235" s="10">
        <v>15808</v>
      </c>
      <c r="B235" s="11">
        <v>42056</v>
      </c>
      <c r="C235" s="12">
        <v>242.48</v>
      </c>
      <c r="D235" s="12">
        <v>18.48</v>
      </c>
      <c r="E235" s="17"/>
      <c r="F235" s="33">
        <f>+C220+C221+C225+C226+C227+C228+C231+C232+C224</f>
        <v>786.35</v>
      </c>
      <c r="G235" s="34">
        <v>776.58</v>
      </c>
      <c r="H235" s="12"/>
      <c r="I235" s="10"/>
    </row>
    <row r="236" spans="1:9" x14ac:dyDescent="0.2">
      <c r="A236" s="10">
        <v>15809</v>
      </c>
      <c r="B236" s="11">
        <v>42058</v>
      </c>
      <c r="C236" s="12">
        <v>37.999999999999993</v>
      </c>
      <c r="D236" s="12">
        <v>2.9</v>
      </c>
      <c r="E236" s="15" t="s">
        <v>11</v>
      </c>
      <c r="F236" s="21"/>
      <c r="G236" s="22"/>
      <c r="H236" s="10"/>
      <c r="I236" s="10"/>
    </row>
    <row r="237" spans="1:9" x14ac:dyDescent="0.2">
      <c r="A237" s="10">
        <v>15810</v>
      </c>
      <c r="B237" s="11">
        <v>42058</v>
      </c>
      <c r="C237" s="12">
        <v>10.83</v>
      </c>
      <c r="D237" s="12">
        <v>0.83</v>
      </c>
      <c r="E237" s="15" t="s">
        <v>11</v>
      </c>
      <c r="H237" s="10"/>
      <c r="I237" s="10"/>
    </row>
    <row r="238" spans="1:9" x14ac:dyDescent="0.2">
      <c r="A238" s="10">
        <v>15811</v>
      </c>
      <c r="B238" s="11">
        <v>42058</v>
      </c>
      <c r="C238" s="12">
        <v>267.86</v>
      </c>
      <c r="D238" s="12">
        <v>20.41</v>
      </c>
      <c r="E238" s="15" t="s">
        <v>11</v>
      </c>
      <c r="F238" s="21"/>
      <c r="G238" s="22"/>
      <c r="H238" s="10"/>
      <c r="I238" s="10"/>
    </row>
    <row r="239" spans="1:9" x14ac:dyDescent="0.2">
      <c r="A239" s="10">
        <v>15812</v>
      </c>
      <c r="B239" s="11">
        <v>42058</v>
      </c>
      <c r="C239" s="12">
        <v>40</v>
      </c>
      <c r="D239" s="12">
        <v>3.04</v>
      </c>
      <c r="E239" s="17"/>
      <c r="H239" s="12"/>
      <c r="I239" s="10"/>
    </row>
    <row r="240" spans="1:9" x14ac:dyDescent="0.2">
      <c r="A240" s="10">
        <v>15813</v>
      </c>
      <c r="B240" s="11">
        <v>42058</v>
      </c>
      <c r="C240" s="12">
        <v>97.43</v>
      </c>
      <c r="D240" s="12">
        <v>7.43</v>
      </c>
      <c r="E240" s="15" t="s">
        <v>7</v>
      </c>
      <c r="H240" s="10"/>
      <c r="I240" s="10"/>
    </row>
    <row r="241" spans="1:9" x14ac:dyDescent="0.2">
      <c r="A241" s="10">
        <v>15814</v>
      </c>
      <c r="B241" s="11">
        <v>42058</v>
      </c>
      <c r="C241" s="12">
        <v>22.73</v>
      </c>
      <c r="D241" s="12">
        <v>1.73</v>
      </c>
      <c r="E241" s="17"/>
      <c r="F241" s="18"/>
      <c r="G241" s="19"/>
      <c r="H241" s="12"/>
      <c r="I241" s="10"/>
    </row>
    <row r="242" spans="1:9" x14ac:dyDescent="0.2">
      <c r="A242" s="10">
        <v>15815</v>
      </c>
      <c r="B242" s="11">
        <v>42058</v>
      </c>
      <c r="C242" s="12">
        <v>4.01</v>
      </c>
      <c r="D242" s="12">
        <v>0.31</v>
      </c>
      <c r="E242" s="17"/>
      <c r="H242" s="12"/>
      <c r="I242" s="10"/>
    </row>
    <row r="243" spans="1:9" x14ac:dyDescent="0.2">
      <c r="A243" s="10">
        <v>15816</v>
      </c>
      <c r="B243" s="11">
        <v>42058</v>
      </c>
      <c r="C243" s="12">
        <v>37.89</v>
      </c>
      <c r="D243" s="12">
        <v>2.89</v>
      </c>
      <c r="E243" s="15" t="s">
        <v>21</v>
      </c>
      <c r="F243" s="33">
        <f>+C236+C237+150+C240</f>
        <v>296.26</v>
      </c>
      <c r="G243" s="34">
        <f>+F243*0.97831</f>
        <v>289.83412060000001</v>
      </c>
      <c r="H243" s="10"/>
      <c r="I243" s="10"/>
    </row>
    <row r="244" spans="1:9" x14ac:dyDescent="0.2">
      <c r="A244" s="10">
        <v>15817</v>
      </c>
      <c r="B244" s="11">
        <v>42059</v>
      </c>
      <c r="C244" s="12">
        <v>72.53</v>
      </c>
      <c r="D244" s="12">
        <v>5.53</v>
      </c>
      <c r="E244" s="17"/>
      <c r="F244" s="18"/>
      <c r="G244" s="19"/>
      <c r="H244" s="12"/>
      <c r="I244" s="10"/>
    </row>
    <row r="245" spans="1:9" x14ac:dyDescent="0.2">
      <c r="A245" s="10">
        <v>15818</v>
      </c>
      <c r="B245" s="11">
        <v>42059</v>
      </c>
      <c r="C245" s="12">
        <v>173</v>
      </c>
      <c r="D245" s="12"/>
      <c r="E245" s="13" t="s">
        <v>77</v>
      </c>
      <c r="F245" s="18"/>
      <c r="G245" s="19"/>
      <c r="H245" s="12"/>
      <c r="I245" s="10"/>
    </row>
    <row r="246" spans="1:9" x14ac:dyDescent="0.2">
      <c r="A246" s="10">
        <v>15819</v>
      </c>
      <c r="B246" s="11">
        <v>42059</v>
      </c>
      <c r="C246" s="12">
        <v>60</v>
      </c>
      <c r="D246" s="12">
        <v>4.57</v>
      </c>
      <c r="E246" s="15" t="s">
        <v>11</v>
      </c>
      <c r="F246" s="21"/>
      <c r="G246" s="22"/>
      <c r="H246" s="10"/>
      <c r="I246" s="10"/>
    </row>
    <row r="247" spans="1:9" x14ac:dyDescent="0.2">
      <c r="A247" s="10">
        <v>15820</v>
      </c>
      <c r="B247" s="11">
        <v>42059</v>
      </c>
      <c r="C247" s="12">
        <v>87.68</v>
      </c>
      <c r="D247" s="12">
        <v>6.68</v>
      </c>
      <c r="E247" s="15" t="s">
        <v>7</v>
      </c>
      <c r="F247" s="21"/>
      <c r="G247" s="22"/>
      <c r="H247" s="10"/>
      <c r="I247" s="10"/>
    </row>
    <row r="248" spans="1:9" x14ac:dyDescent="0.2">
      <c r="A248" s="10">
        <v>15821</v>
      </c>
      <c r="B248" s="11">
        <v>42059</v>
      </c>
      <c r="C248" s="12">
        <v>200</v>
      </c>
      <c r="D248" s="12"/>
      <c r="E248" s="13" t="s">
        <v>276</v>
      </c>
      <c r="H248" s="12"/>
      <c r="I248" s="10"/>
    </row>
    <row r="249" spans="1:9" x14ac:dyDescent="0.2">
      <c r="A249" s="10">
        <v>15822</v>
      </c>
      <c r="B249" s="11">
        <v>42059</v>
      </c>
      <c r="C249" s="12">
        <v>43.03</v>
      </c>
      <c r="D249" s="12">
        <v>3.28</v>
      </c>
      <c r="E249" s="17"/>
      <c r="H249" s="12"/>
      <c r="I249" s="10"/>
    </row>
    <row r="250" spans="1:9" x14ac:dyDescent="0.2">
      <c r="A250" s="10">
        <v>15823</v>
      </c>
      <c r="B250" s="11">
        <v>42059</v>
      </c>
      <c r="C250" s="12">
        <v>228.41</v>
      </c>
      <c r="D250" s="12">
        <v>17.41</v>
      </c>
      <c r="E250" s="15" t="s">
        <v>11</v>
      </c>
      <c r="H250" s="10"/>
      <c r="I250" s="10"/>
    </row>
    <row r="251" spans="1:9" x14ac:dyDescent="0.2">
      <c r="A251" s="10">
        <v>15824</v>
      </c>
      <c r="B251" s="11">
        <v>42059</v>
      </c>
      <c r="C251" s="12">
        <v>1200</v>
      </c>
      <c r="D251" s="12"/>
      <c r="E251" s="13" t="s">
        <v>8</v>
      </c>
      <c r="H251" s="12"/>
      <c r="I251" s="10"/>
    </row>
    <row r="252" spans="1:9" x14ac:dyDescent="0.2">
      <c r="A252" s="10">
        <v>15825</v>
      </c>
      <c r="B252" s="11">
        <v>42059</v>
      </c>
      <c r="C252" s="12">
        <v>86.6</v>
      </c>
      <c r="D252" s="12">
        <v>6.6</v>
      </c>
      <c r="E252" s="15" t="s">
        <v>21</v>
      </c>
      <c r="H252" s="10"/>
      <c r="I252" s="10"/>
    </row>
    <row r="253" spans="1:9" x14ac:dyDescent="0.2">
      <c r="A253" s="10">
        <v>15826</v>
      </c>
      <c r="B253" s="11">
        <v>42059</v>
      </c>
      <c r="C253" s="12">
        <v>452.49</v>
      </c>
      <c r="D253" s="12">
        <v>34.49</v>
      </c>
      <c r="E253" s="15" t="s">
        <v>11</v>
      </c>
      <c r="F253" s="21"/>
      <c r="G253" s="22"/>
      <c r="H253" s="10"/>
      <c r="I253" s="10"/>
    </row>
    <row r="254" spans="1:9" x14ac:dyDescent="0.2">
      <c r="A254" s="10">
        <v>15827</v>
      </c>
      <c r="B254" s="11">
        <v>42059</v>
      </c>
      <c r="C254" s="12">
        <v>216.45</v>
      </c>
      <c r="D254" s="12">
        <v>16.5</v>
      </c>
      <c r="E254" s="15" t="s">
        <v>7</v>
      </c>
      <c r="F254" s="21"/>
      <c r="G254" s="22"/>
      <c r="H254" s="10"/>
      <c r="I254" s="10"/>
    </row>
    <row r="255" spans="1:9" x14ac:dyDescent="0.2">
      <c r="A255" s="10">
        <v>15828</v>
      </c>
      <c r="B255" s="11">
        <v>42059</v>
      </c>
      <c r="C255" s="12">
        <v>0</v>
      </c>
      <c r="D255" s="12">
        <v>0</v>
      </c>
      <c r="E255" s="17"/>
      <c r="F255" s="33">
        <f>+C246+C247+142.16+100+C253+C254</f>
        <v>1058.78</v>
      </c>
      <c r="G255" s="34">
        <v>1051.71</v>
      </c>
      <c r="H255" s="12"/>
      <c r="I255" s="10"/>
    </row>
    <row r="256" spans="1:9" x14ac:dyDescent="0.2">
      <c r="A256" s="10">
        <v>15829</v>
      </c>
      <c r="B256" s="11">
        <v>42060</v>
      </c>
      <c r="C256" s="12">
        <v>8.99</v>
      </c>
      <c r="D256" s="12"/>
      <c r="E256" s="15" t="s">
        <v>11</v>
      </c>
      <c r="H256" s="10"/>
      <c r="I256" s="10"/>
    </row>
    <row r="257" spans="1:9" x14ac:dyDescent="0.2">
      <c r="A257" s="10">
        <v>15830</v>
      </c>
      <c r="B257" s="11">
        <v>42060</v>
      </c>
      <c r="C257" s="12">
        <v>70.36</v>
      </c>
      <c r="D257" s="12">
        <v>5.36</v>
      </c>
      <c r="E257" s="17"/>
      <c r="H257" s="12"/>
      <c r="I257" s="10"/>
    </row>
    <row r="258" spans="1:9" x14ac:dyDescent="0.2">
      <c r="A258" s="10">
        <v>15831</v>
      </c>
      <c r="B258" s="11">
        <v>42060</v>
      </c>
      <c r="C258" s="12">
        <v>25.98</v>
      </c>
      <c r="D258" s="12">
        <v>1.98</v>
      </c>
      <c r="E258" s="15" t="s">
        <v>11</v>
      </c>
      <c r="H258" s="10"/>
      <c r="I258" s="10"/>
    </row>
    <row r="259" spans="1:9" x14ac:dyDescent="0.2">
      <c r="A259" s="10">
        <v>15832</v>
      </c>
      <c r="B259" s="11">
        <v>42060</v>
      </c>
      <c r="C259" s="12">
        <v>130</v>
      </c>
      <c r="D259" s="12"/>
      <c r="E259" s="13" t="s">
        <v>277</v>
      </c>
      <c r="F259" s="116"/>
      <c r="G259" s="116"/>
      <c r="H259" s="12"/>
      <c r="I259" s="10"/>
    </row>
    <row r="260" spans="1:9" x14ac:dyDescent="0.2">
      <c r="A260" s="10">
        <v>15833</v>
      </c>
      <c r="B260" s="11">
        <v>42060</v>
      </c>
      <c r="C260" s="12">
        <v>18.399999999999999</v>
      </c>
      <c r="D260" s="12">
        <v>1.4</v>
      </c>
      <c r="E260" s="15" t="s">
        <v>11</v>
      </c>
      <c r="H260" s="10"/>
      <c r="I260" s="10"/>
    </row>
    <row r="261" spans="1:9" x14ac:dyDescent="0.2">
      <c r="A261" s="10">
        <v>15834</v>
      </c>
      <c r="B261" s="11">
        <v>42060</v>
      </c>
      <c r="C261" s="12">
        <v>107.17</v>
      </c>
      <c r="D261" s="12">
        <v>8.17</v>
      </c>
      <c r="E261" s="15" t="s">
        <v>11</v>
      </c>
      <c r="H261" s="10"/>
      <c r="I261" s="10"/>
    </row>
    <row r="262" spans="1:9" x14ac:dyDescent="0.2">
      <c r="A262" s="10">
        <v>15835</v>
      </c>
      <c r="B262" s="11">
        <v>42060</v>
      </c>
      <c r="C262" s="12">
        <v>108.24</v>
      </c>
      <c r="D262" s="12">
        <v>8.25</v>
      </c>
      <c r="E262" s="13" t="s">
        <v>278</v>
      </c>
      <c r="H262" s="12"/>
      <c r="I262" s="10"/>
    </row>
    <row r="263" spans="1:9" x14ac:dyDescent="0.2">
      <c r="A263" s="10">
        <v>15836</v>
      </c>
      <c r="B263" s="11">
        <v>42060</v>
      </c>
      <c r="C263" s="12">
        <v>199.18</v>
      </c>
      <c r="D263" s="12">
        <v>15.18</v>
      </c>
      <c r="E263" s="15" t="s">
        <v>11</v>
      </c>
      <c r="F263" s="21"/>
      <c r="G263" s="22"/>
      <c r="H263" s="10"/>
      <c r="I263" s="10"/>
    </row>
    <row r="264" spans="1:9" x14ac:dyDescent="0.2">
      <c r="A264" s="10">
        <v>15837</v>
      </c>
      <c r="B264" s="11">
        <v>42060</v>
      </c>
      <c r="C264" s="12">
        <v>62.79</v>
      </c>
      <c r="D264" s="12">
        <v>4.79</v>
      </c>
      <c r="E264" s="17"/>
      <c r="F264" s="18"/>
      <c r="G264" s="19"/>
      <c r="H264" s="12"/>
      <c r="I264" s="10"/>
    </row>
    <row r="265" spans="1:9" x14ac:dyDescent="0.2">
      <c r="A265" s="10">
        <v>15838</v>
      </c>
      <c r="B265" s="11">
        <v>42060</v>
      </c>
      <c r="C265" s="12">
        <v>129.9</v>
      </c>
      <c r="D265" s="12">
        <v>9.9</v>
      </c>
      <c r="E265" s="17"/>
      <c r="F265" s="18"/>
      <c r="G265" s="19"/>
      <c r="H265" s="12"/>
      <c r="I265" s="10"/>
    </row>
    <row r="266" spans="1:9" x14ac:dyDescent="0.2">
      <c r="A266" s="10">
        <v>15839</v>
      </c>
      <c r="B266" s="11">
        <v>42060</v>
      </c>
      <c r="C266" s="12">
        <v>29.169999999999998</v>
      </c>
      <c r="D266" s="12">
        <v>2.2200000000000002</v>
      </c>
      <c r="E266" s="17"/>
      <c r="H266" s="12"/>
      <c r="I266" s="10"/>
    </row>
    <row r="267" spans="1:9" x14ac:dyDescent="0.2">
      <c r="A267" s="10">
        <v>15840</v>
      </c>
      <c r="B267" s="11">
        <v>42060</v>
      </c>
      <c r="C267" s="12">
        <v>305.27</v>
      </c>
      <c r="D267" s="12">
        <v>23.27</v>
      </c>
      <c r="E267" s="15" t="s">
        <v>11</v>
      </c>
      <c r="H267" s="10"/>
      <c r="I267" s="10"/>
    </row>
    <row r="268" spans="1:9" x14ac:dyDescent="0.2">
      <c r="A268" s="10">
        <v>15841</v>
      </c>
      <c r="B268" s="11">
        <v>42060</v>
      </c>
      <c r="C268" s="12">
        <v>74.69</v>
      </c>
      <c r="D268" s="12">
        <v>5.69</v>
      </c>
      <c r="E268" s="15" t="s">
        <v>11</v>
      </c>
      <c r="H268" s="10"/>
      <c r="I268" s="10"/>
    </row>
    <row r="269" spans="1:9" x14ac:dyDescent="0.2">
      <c r="A269" s="10">
        <v>15842</v>
      </c>
      <c r="B269" s="11">
        <v>42060</v>
      </c>
      <c r="C269" s="12">
        <v>5</v>
      </c>
      <c r="D269" s="12">
        <v>0.38</v>
      </c>
      <c r="E269" s="17"/>
      <c r="H269" s="12"/>
      <c r="I269" s="10"/>
    </row>
    <row r="270" spans="1:9" x14ac:dyDescent="0.2">
      <c r="A270" s="10">
        <v>15843</v>
      </c>
      <c r="B270" s="11">
        <v>42060</v>
      </c>
      <c r="C270" s="12">
        <v>458.98</v>
      </c>
      <c r="D270" s="12">
        <v>34.979999999999997</v>
      </c>
      <c r="E270" s="15" t="s">
        <v>7</v>
      </c>
      <c r="F270" s="21"/>
      <c r="G270" s="22"/>
      <c r="H270" s="10"/>
      <c r="I270" s="10"/>
    </row>
    <row r="271" spans="1:9" x14ac:dyDescent="0.2">
      <c r="A271" s="10">
        <v>15844</v>
      </c>
      <c r="B271" s="11">
        <v>42060</v>
      </c>
      <c r="C271" s="12">
        <v>60</v>
      </c>
      <c r="D271" s="12">
        <v>4.57</v>
      </c>
      <c r="E271" s="15" t="s">
        <v>11</v>
      </c>
      <c r="H271" s="10"/>
      <c r="I271" s="10"/>
    </row>
    <row r="272" spans="1:9" x14ac:dyDescent="0.2">
      <c r="A272" s="10">
        <v>15845</v>
      </c>
      <c r="B272" s="11">
        <v>42060</v>
      </c>
      <c r="C272" s="12">
        <v>-59</v>
      </c>
      <c r="D272" s="12">
        <v>-4.5</v>
      </c>
      <c r="E272" s="17"/>
      <c r="H272" s="12"/>
      <c r="I272" s="10"/>
    </row>
    <row r="273" spans="1:9" x14ac:dyDescent="0.2">
      <c r="A273" s="10">
        <v>15846</v>
      </c>
      <c r="B273" s="11">
        <v>42060</v>
      </c>
      <c r="C273" s="12">
        <v>11.55</v>
      </c>
      <c r="D273" s="12"/>
      <c r="E273" s="13" t="s">
        <v>8</v>
      </c>
      <c r="H273" s="12"/>
      <c r="I273" s="10"/>
    </row>
    <row r="274" spans="1:9" x14ac:dyDescent="0.2">
      <c r="A274" s="10">
        <v>15847</v>
      </c>
      <c r="B274" s="11">
        <v>42060</v>
      </c>
      <c r="C274" s="12">
        <v>37.89</v>
      </c>
      <c r="D274" s="12">
        <v>2.89</v>
      </c>
      <c r="E274" s="15" t="s">
        <v>11</v>
      </c>
      <c r="H274" s="10"/>
      <c r="I274" s="10"/>
    </row>
    <row r="275" spans="1:9" x14ac:dyDescent="0.2">
      <c r="A275" s="10">
        <v>15848</v>
      </c>
      <c r="B275" s="11">
        <v>42060</v>
      </c>
      <c r="C275" s="12">
        <v>95.26</v>
      </c>
      <c r="D275" s="12">
        <v>7.26</v>
      </c>
      <c r="E275" s="17"/>
      <c r="F275" s="18"/>
      <c r="G275" s="19"/>
      <c r="H275" s="12"/>
      <c r="I275" s="10"/>
    </row>
    <row r="276" spans="1:9" x14ac:dyDescent="0.2">
      <c r="A276" s="10">
        <v>15849</v>
      </c>
      <c r="B276" s="11">
        <v>42060</v>
      </c>
      <c r="C276" s="12">
        <v>51.96</v>
      </c>
      <c r="D276" s="12">
        <v>3.96</v>
      </c>
      <c r="E276" s="17"/>
      <c r="F276" s="33">
        <f>+C256+1018+C258+C260+C261+C263+C267+C268+C270+C271+C274</f>
        <v>2314.5500000000002</v>
      </c>
      <c r="G276" s="34">
        <v>2260.65</v>
      </c>
      <c r="H276" s="12"/>
      <c r="I276" s="10"/>
    </row>
    <row r="277" spans="1:9" x14ac:dyDescent="0.2">
      <c r="A277" s="10">
        <v>15850</v>
      </c>
      <c r="B277" s="11">
        <v>42061</v>
      </c>
      <c r="C277" s="12">
        <v>48</v>
      </c>
      <c r="D277" s="12">
        <v>3.66</v>
      </c>
      <c r="E277" s="15" t="s">
        <v>7</v>
      </c>
      <c r="H277" s="10"/>
      <c r="I277" s="10"/>
    </row>
    <row r="278" spans="1:9" x14ac:dyDescent="0.2">
      <c r="A278" s="10">
        <v>15851</v>
      </c>
      <c r="B278" s="11">
        <v>42061</v>
      </c>
      <c r="C278" s="12">
        <v>172.12</v>
      </c>
      <c r="D278" s="12">
        <v>13.12</v>
      </c>
      <c r="E278" s="17"/>
      <c r="H278" s="12"/>
      <c r="I278" s="10"/>
    </row>
    <row r="279" spans="1:9" x14ac:dyDescent="0.2">
      <c r="A279" s="10">
        <v>15852</v>
      </c>
      <c r="B279" s="11">
        <v>42061</v>
      </c>
      <c r="C279" s="12">
        <v>-60</v>
      </c>
      <c r="D279" s="12">
        <v>-4.57</v>
      </c>
      <c r="E279" s="15" t="s">
        <v>11</v>
      </c>
      <c r="H279" s="10"/>
      <c r="I279" s="10"/>
    </row>
    <row r="280" spans="1:9" x14ac:dyDescent="0.2">
      <c r="A280" s="10">
        <v>15853</v>
      </c>
      <c r="B280" s="11">
        <v>42061</v>
      </c>
      <c r="C280" s="12">
        <v>201.89</v>
      </c>
      <c r="D280" s="12">
        <v>15.39</v>
      </c>
      <c r="E280" s="15" t="s">
        <v>7</v>
      </c>
      <c r="F280" s="21"/>
      <c r="G280" s="22"/>
      <c r="H280" s="10"/>
      <c r="I280" s="10"/>
    </row>
    <row r="281" spans="1:9" x14ac:dyDescent="0.2">
      <c r="A281" s="10">
        <v>15854</v>
      </c>
      <c r="B281" s="11">
        <v>42061</v>
      </c>
      <c r="C281" s="12">
        <v>19.489999999999998</v>
      </c>
      <c r="D281" s="12">
        <v>1.49</v>
      </c>
      <c r="E281" s="17"/>
      <c r="H281" s="12"/>
      <c r="I281" s="10"/>
    </row>
    <row r="282" spans="1:9" x14ac:dyDescent="0.2">
      <c r="A282" s="10">
        <v>15855</v>
      </c>
      <c r="B282" s="11">
        <v>42061</v>
      </c>
      <c r="C282" s="12">
        <v>10</v>
      </c>
      <c r="D282" s="12">
        <v>0.76</v>
      </c>
      <c r="E282" s="17"/>
      <c r="H282" s="12"/>
      <c r="I282" s="10"/>
    </row>
    <row r="283" spans="1:9" x14ac:dyDescent="0.2">
      <c r="A283" s="10">
        <v>15856</v>
      </c>
      <c r="B283" s="11">
        <v>42061</v>
      </c>
      <c r="C283" s="12">
        <v>508.78</v>
      </c>
      <c r="D283" s="12">
        <v>38.78</v>
      </c>
      <c r="E283" s="15" t="s">
        <v>21</v>
      </c>
      <c r="F283" s="21"/>
      <c r="G283" s="22"/>
      <c r="H283" s="10"/>
      <c r="I283" s="10"/>
    </row>
    <row r="284" spans="1:9" x14ac:dyDescent="0.2">
      <c r="A284" s="10">
        <v>15857</v>
      </c>
      <c r="B284" s="11">
        <v>42061</v>
      </c>
      <c r="C284" s="12">
        <v>0</v>
      </c>
      <c r="D284" s="12">
        <v>0</v>
      </c>
      <c r="E284" s="15" t="s">
        <v>21</v>
      </c>
      <c r="H284" s="10"/>
      <c r="I284" s="10"/>
    </row>
    <row r="285" spans="1:9" x14ac:dyDescent="0.2">
      <c r="A285" s="10">
        <v>15858</v>
      </c>
      <c r="B285" s="11">
        <v>42061</v>
      </c>
      <c r="C285" s="12">
        <v>384.29</v>
      </c>
      <c r="D285" s="12">
        <v>29.29</v>
      </c>
      <c r="E285" s="15" t="s">
        <v>11</v>
      </c>
      <c r="H285" s="10"/>
      <c r="I285" s="10"/>
    </row>
    <row r="286" spans="1:9" x14ac:dyDescent="0.2">
      <c r="A286" s="10">
        <v>15859</v>
      </c>
      <c r="B286" s="11">
        <v>42061</v>
      </c>
      <c r="C286" s="12">
        <v>22.73</v>
      </c>
      <c r="D286" s="12">
        <v>1.73</v>
      </c>
      <c r="E286" s="15" t="s">
        <v>11</v>
      </c>
      <c r="H286" s="10"/>
      <c r="I286" s="10"/>
    </row>
    <row r="287" spans="1:9" x14ac:dyDescent="0.2">
      <c r="A287" s="10">
        <v>15860</v>
      </c>
      <c r="B287" s="11">
        <v>42061</v>
      </c>
      <c r="C287" s="12">
        <v>35.29</v>
      </c>
      <c r="D287" s="12">
        <v>2.69</v>
      </c>
      <c r="E287" s="15" t="s">
        <v>11</v>
      </c>
      <c r="F287" s="21"/>
      <c r="G287" s="22"/>
      <c r="H287" s="10"/>
      <c r="I287" s="10"/>
    </row>
    <row r="288" spans="1:9" x14ac:dyDescent="0.2">
      <c r="A288" s="10">
        <v>15861</v>
      </c>
      <c r="B288" s="11">
        <v>42061</v>
      </c>
      <c r="C288" s="12">
        <v>48.71</v>
      </c>
      <c r="D288" s="12">
        <v>3.71</v>
      </c>
      <c r="E288" s="17"/>
      <c r="F288" s="18"/>
      <c r="G288" s="19"/>
      <c r="H288" s="12"/>
      <c r="I288" s="10"/>
    </row>
    <row r="289" spans="1:9" x14ac:dyDescent="0.2">
      <c r="A289" s="10">
        <v>15862</v>
      </c>
      <c r="B289" s="11">
        <v>42061</v>
      </c>
      <c r="C289" s="12">
        <v>20</v>
      </c>
      <c r="D289" s="12">
        <v>1.52</v>
      </c>
      <c r="E289" s="17"/>
      <c r="H289" s="12"/>
      <c r="I289" s="10"/>
    </row>
    <row r="290" spans="1:9" x14ac:dyDescent="0.2">
      <c r="A290" s="10">
        <v>15863</v>
      </c>
      <c r="B290" s="11">
        <v>42061</v>
      </c>
      <c r="C290" s="12">
        <v>177</v>
      </c>
      <c r="D290" s="12"/>
      <c r="E290" s="15" t="s">
        <v>60</v>
      </c>
      <c r="H290" s="10"/>
      <c r="I290" s="10"/>
    </row>
    <row r="291" spans="1:9" x14ac:dyDescent="0.2">
      <c r="A291" s="10">
        <v>15864</v>
      </c>
      <c r="B291" s="11">
        <v>42061</v>
      </c>
      <c r="C291" s="12">
        <v>22.68</v>
      </c>
      <c r="D291" s="12">
        <v>1.73</v>
      </c>
      <c r="E291" s="15" t="s">
        <v>7</v>
      </c>
      <c r="F291" s="33">
        <f>+C277+C279+C280+C285+C286+C287+37.89+C291</f>
        <v>692.77</v>
      </c>
      <c r="G291" s="34">
        <v>682.53</v>
      </c>
      <c r="H291" s="10"/>
      <c r="I291" s="10"/>
    </row>
    <row r="292" spans="1:9" x14ac:dyDescent="0.2">
      <c r="A292" s="10">
        <v>15865</v>
      </c>
      <c r="B292" s="11">
        <v>42062</v>
      </c>
      <c r="C292" s="12">
        <v>83.35</v>
      </c>
      <c r="D292" s="12">
        <v>6.35</v>
      </c>
      <c r="E292" s="15" t="s">
        <v>11</v>
      </c>
      <c r="F292" s="21"/>
      <c r="G292" s="22"/>
      <c r="H292" s="10"/>
      <c r="I292" s="10"/>
    </row>
    <row r="293" spans="1:9" x14ac:dyDescent="0.2">
      <c r="A293" s="10">
        <v>15866</v>
      </c>
      <c r="B293" s="11">
        <v>42062</v>
      </c>
      <c r="C293" s="12">
        <v>323.13</v>
      </c>
      <c r="D293" s="12">
        <v>24.63</v>
      </c>
      <c r="E293" s="15" t="s">
        <v>11</v>
      </c>
      <c r="H293" s="10"/>
      <c r="I293" s="10"/>
    </row>
    <row r="294" spans="1:9" x14ac:dyDescent="0.2">
      <c r="A294" s="10">
        <v>15867</v>
      </c>
      <c r="B294" s="11">
        <v>42062</v>
      </c>
      <c r="C294" s="12">
        <v>53.04</v>
      </c>
      <c r="D294" s="12">
        <v>4.04</v>
      </c>
      <c r="E294" s="15" t="s">
        <v>11</v>
      </c>
      <c r="F294" s="21"/>
      <c r="G294" s="22"/>
      <c r="H294" s="10"/>
      <c r="I294" s="10"/>
    </row>
    <row r="295" spans="1:9" x14ac:dyDescent="0.2">
      <c r="A295" s="10">
        <v>15868</v>
      </c>
      <c r="B295" s="11">
        <v>42062</v>
      </c>
      <c r="C295" s="12">
        <v>7.58</v>
      </c>
      <c r="D295" s="12">
        <v>0.57999999999999996</v>
      </c>
      <c r="E295" s="15" t="s">
        <v>7</v>
      </c>
      <c r="H295" s="10"/>
      <c r="I295" s="10"/>
    </row>
    <row r="296" spans="1:9" x14ac:dyDescent="0.2">
      <c r="A296" s="10">
        <v>15869</v>
      </c>
      <c r="B296" s="11">
        <v>42062</v>
      </c>
      <c r="C296" s="12">
        <v>45</v>
      </c>
      <c r="D296" s="12"/>
      <c r="E296" s="13" t="s">
        <v>19</v>
      </c>
      <c r="F296" s="18"/>
      <c r="G296" s="19"/>
      <c r="H296" s="12"/>
      <c r="I296" s="10"/>
    </row>
    <row r="297" spans="1:9" x14ac:dyDescent="0.2">
      <c r="A297" s="10">
        <v>15870</v>
      </c>
      <c r="B297" s="11">
        <v>42062</v>
      </c>
      <c r="C297" s="12">
        <v>129.9</v>
      </c>
      <c r="D297" s="12">
        <v>9.9</v>
      </c>
      <c r="E297" s="15"/>
      <c r="F297" s="21"/>
      <c r="G297" s="22"/>
      <c r="H297" s="10"/>
      <c r="I297" s="10"/>
    </row>
    <row r="298" spans="1:9" x14ac:dyDescent="0.2">
      <c r="A298" s="10">
        <v>15871</v>
      </c>
      <c r="B298" s="11">
        <v>42062</v>
      </c>
      <c r="C298" s="12">
        <v>19.43</v>
      </c>
      <c r="D298" s="12">
        <v>1.48</v>
      </c>
      <c r="E298" s="15" t="s">
        <v>7</v>
      </c>
      <c r="H298" s="10"/>
      <c r="I298" s="10"/>
    </row>
    <row r="299" spans="1:9" x14ac:dyDescent="0.2">
      <c r="A299" s="10">
        <v>15872</v>
      </c>
      <c r="B299" s="11">
        <v>42062</v>
      </c>
      <c r="C299" s="12">
        <v>36.44</v>
      </c>
      <c r="D299" s="12">
        <v>2.78</v>
      </c>
      <c r="E299" s="17"/>
      <c r="H299" s="12"/>
      <c r="I299" s="10"/>
    </row>
    <row r="300" spans="1:9" x14ac:dyDescent="0.2">
      <c r="A300" s="10">
        <v>15873</v>
      </c>
      <c r="B300" s="11">
        <v>42062</v>
      </c>
      <c r="C300" s="12">
        <v>81.19</v>
      </c>
      <c r="D300" s="12">
        <v>6.19</v>
      </c>
      <c r="E300" s="15"/>
      <c r="H300" s="10"/>
      <c r="I300" s="10"/>
    </row>
    <row r="301" spans="1:9" x14ac:dyDescent="0.2">
      <c r="A301" s="10">
        <v>15874</v>
      </c>
      <c r="B301" s="11">
        <v>42062</v>
      </c>
      <c r="C301" s="12">
        <v>30.09</v>
      </c>
      <c r="D301" s="12">
        <v>2.29</v>
      </c>
      <c r="E301" s="15" t="s">
        <v>11</v>
      </c>
      <c r="F301" s="33">
        <f>+C292+C293+C294+C295+C298+117.86+C301+236.72+86.6</f>
        <v>957.80000000000007</v>
      </c>
      <c r="G301" s="34">
        <v>945.52</v>
      </c>
      <c r="H301" s="10"/>
      <c r="I301" s="10"/>
    </row>
    <row r="302" spans="1:9" x14ac:dyDescent="0.2">
      <c r="A302" s="10">
        <v>15875</v>
      </c>
      <c r="B302" s="11">
        <v>42063</v>
      </c>
      <c r="C302" s="12">
        <v>37</v>
      </c>
      <c r="D302" s="12"/>
      <c r="E302" s="13" t="s">
        <v>8</v>
      </c>
      <c r="H302" s="12"/>
      <c r="I302" s="10"/>
    </row>
    <row r="303" spans="1:9" x14ac:dyDescent="0.2">
      <c r="A303" s="10">
        <v>15876</v>
      </c>
      <c r="B303" s="11">
        <v>42063</v>
      </c>
      <c r="C303" s="12">
        <v>494.15999999999997</v>
      </c>
      <c r="D303" s="12">
        <v>37.659999999999997</v>
      </c>
      <c r="E303" s="15" t="s">
        <v>11</v>
      </c>
      <c r="F303" s="115"/>
      <c r="G303" s="115"/>
      <c r="H303" s="10"/>
      <c r="I303" s="10"/>
    </row>
    <row r="304" spans="1:9" x14ac:dyDescent="0.2">
      <c r="A304" s="10">
        <v>15877</v>
      </c>
      <c r="B304" s="11">
        <v>42063</v>
      </c>
      <c r="C304" s="12">
        <v>43.3</v>
      </c>
      <c r="D304" s="12">
        <v>3.3</v>
      </c>
      <c r="E304" s="15" t="s">
        <v>7</v>
      </c>
      <c r="F304" s="21"/>
      <c r="G304" s="22"/>
      <c r="H304" s="10"/>
      <c r="I304" s="10"/>
    </row>
    <row r="305" spans="1:12" x14ac:dyDescent="0.2">
      <c r="A305" s="10">
        <v>15878</v>
      </c>
      <c r="B305" s="11">
        <v>42063</v>
      </c>
      <c r="C305" s="12">
        <v>9.69</v>
      </c>
      <c r="D305" s="12">
        <v>0.74</v>
      </c>
      <c r="E305" s="17"/>
      <c r="F305" s="18"/>
      <c r="G305" s="19"/>
      <c r="H305" s="12"/>
      <c r="I305" s="10"/>
    </row>
    <row r="306" spans="1:12" x14ac:dyDescent="0.2">
      <c r="A306" s="10">
        <v>15879</v>
      </c>
      <c r="B306" s="11">
        <v>42063</v>
      </c>
      <c r="C306" s="12">
        <v>97.43</v>
      </c>
      <c r="D306" s="12">
        <v>7.43</v>
      </c>
      <c r="E306" s="17"/>
      <c r="F306" s="33">
        <f>+C304+C303</f>
        <v>537.45999999999992</v>
      </c>
      <c r="G306" s="34">
        <v>530.80999999999995</v>
      </c>
      <c r="H306" s="12"/>
      <c r="I306" s="10"/>
    </row>
    <row r="307" spans="1:12" s="8" customFormat="1" x14ac:dyDescent="0.2">
      <c r="A307" s="1"/>
      <c r="B307" s="6"/>
      <c r="C307" s="7"/>
      <c r="D307" s="6"/>
      <c r="E307" s="6"/>
      <c r="H307" s="117"/>
    </row>
    <row r="308" spans="1:12" x14ac:dyDescent="0.2">
      <c r="E308" s="26"/>
      <c r="H308" s="118"/>
      <c r="I308" s="119"/>
      <c r="J308" s="120"/>
      <c r="K308" s="98"/>
      <c r="L308" s="25"/>
    </row>
    <row r="309" spans="1:12" x14ac:dyDescent="0.2">
      <c r="E309" s="26"/>
      <c r="H309" s="121"/>
      <c r="I309" s="119"/>
      <c r="J309" s="120"/>
      <c r="K309" s="98"/>
      <c r="L309" s="25"/>
    </row>
    <row r="310" spans="1:12" x14ac:dyDescent="0.2">
      <c r="E310" s="26"/>
      <c r="H310" s="121"/>
      <c r="I310" s="119"/>
      <c r="J310" s="120"/>
      <c r="K310" s="98"/>
      <c r="L310" s="25"/>
    </row>
    <row r="311" spans="1:12" x14ac:dyDescent="0.2">
      <c r="E311" s="26"/>
      <c r="H311" s="118"/>
      <c r="I311" s="119"/>
      <c r="J311" s="120"/>
      <c r="K311" s="98"/>
      <c r="L311" s="25"/>
    </row>
    <row r="312" spans="1:12" x14ac:dyDescent="0.2">
      <c r="E312" s="26"/>
      <c r="H312" s="118"/>
      <c r="I312" s="119"/>
      <c r="J312" s="120"/>
      <c r="K312" s="98"/>
      <c r="L312" s="25"/>
    </row>
    <row r="313" spans="1:12" x14ac:dyDescent="0.2">
      <c r="E313" s="26"/>
      <c r="H313" s="121"/>
      <c r="I313" s="119"/>
      <c r="J313" s="120"/>
      <c r="K313" s="98"/>
      <c r="L313" s="25"/>
    </row>
    <row r="314" spans="1:12" x14ac:dyDescent="0.2">
      <c r="E314" s="26"/>
      <c r="H314" s="121"/>
      <c r="I314" s="119"/>
      <c r="J314" s="120"/>
      <c r="K314" s="120"/>
      <c r="L314" s="25"/>
    </row>
    <row r="315" spans="1:12" x14ac:dyDescent="0.2">
      <c r="E315" s="26"/>
      <c r="H315" s="118"/>
      <c r="I315" s="119"/>
      <c r="J315" s="120"/>
      <c r="K315" s="98"/>
      <c r="L315" s="25"/>
    </row>
    <row r="316" spans="1:12" x14ac:dyDescent="0.2">
      <c r="E316" s="26"/>
      <c r="H316" s="121"/>
      <c r="I316" s="119"/>
      <c r="J316" s="120"/>
      <c r="K316" s="98"/>
      <c r="L316" s="25"/>
    </row>
    <row r="317" spans="1:12" x14ac:dyDescent="0.2">
      <c r="E317" s="26"/>
      <c r="H317" s="121"/>
      <c r="I317" s="119"/>
      <c r="J317" s="120"/>
      <c r="K317" s="98"/>
      <c r="L317" s="25"/>
    </row>
    <row r="318" spans="1:12" x14ac:dyDescent="0.2">
      <c r="E318" s="26"/>
      <c r="H318" s="121"/>
      <c r="I318" s="119"/>
      <c r="J318" s="120"/>
      <c r="K318" s="98"/>
      <c r="L318" s="25"/>
    </row>
    <row r="319" spans="1:12" x14ac:dyDescent="0.2">
      <c r="E319" s="26"/>
      <c r="H319" s="121"/>
      <c r="I319" s="119"/>
      <c r="J319" s="120"/>
      <c r="K319" s="98"/>
      <c r="L319" s="25"/>
    </row>
    <row r="320" spans="1:12" x14ac:dyDescent="0.2">
      <c r="E320" s="26"/>
      <c r="H320" s="121"/>
      <c r="I320" s="119"/>
      <c r="J320" s="120"/>
      <c r="K320" s="98"/>
      <c r="L320" s="25"/>
    </row>
    <row r="321" spans="5:12" x14ac:dyDescent="0.2">
      <c r="E321" s="26"/>
      <c r="H321" s="121"/>
      <c r="I321" s="119"/>
      <c r="J321" s="120"/>
      <c r="K321" s="120"/>
      <c r="L321" s="25"/>
    </row>
    <row r="322" spans="5:12" x14ac:dyDescent="0.2">
      <c r="E322" s="26"/>
      <c r="H322" s="122"/>
      <c r="I322" s="98"/>
      <c r="J322" s="98"/>
      <c r="K322" s="98"/>
    </row>
    <row r="323" spans="5:12" x14ac:dyDescent="0.2">
      <c r="E323" s="26"/>
      <c r="H323" s="122"/>
      <c r="I323" s="98"/>
      <c r="J323" s="98"/>
      <c r="K323" s="98"/>
    </row>
    <row r="324" spans="5:12" x14ac:dyDescent="0.2">
      <c r="E324" s="26"/>
      <c r="H324" s="122"/>
      <c r="I324" s="98"/>
      <c r="J324" s="98"/>
      <c r="K324" s="98"/>
    </row>
    <row r="325" spans="5:12" x14ac:dyDescent="0.2">
      <c r="E325" s="26"/>
    </row>
    <row r="326" spans="5:12" x14ac:dyDescent="0.2">
      <c r="E326" s="26"/>
    </row>
    <row r="327" spans="5:12" x14ac:dyDescent="0.2">
      <c r="E327" s="26"/>
    </row>
    <row r="328" spans="5:12" x14ac:dyDescent="0.2">
      <c r="E328" s="26"/>
    </row>
    <row r="329" spans="5:12" x14ac:dyDescent="0.2">
      <c r="E329" s="26"/>
    </row>
    <row r="330" spans="5:12" x14ac:dyDescent="0.2">
      <c r="E330" s="26"/>
    </row>
    <row r="331" spans="5:12" x14ac:dyDescent="0.2">
      <c r="E331" s="26"/>
    </row>
    <row r="332" spans="5:12" x14ac:dyDescent="0.2">
      <c r="E332" s="26"/>
    </row>
    <row r="333" spans="5:12" x14ac:dyDescent="0.2">
      <c r="E333" s="26"/>
    </row>
    <row r="334" spans="5:12" x14ac:dyDescent="0.2">
      <c r="E334" s="26"/>
    </row>
    <row r="335" spans="5:12" x14ac:dyDescent="0.2">
      <c r="E335" s="26"/>
    </row>
    <row r="336" spans="5:12" x14ac:dyDescent="0.2">
      <c r="E336" s="26"/>
    </row>
    <row r="337" spans="2:8" x14ac:dyDescent="0.2">
      <c r="E337" s="26"/>
    </row>
    <row r="338" spans="2:8" x14ac:dyDescent="0.2">
      <c r="E338" s="26"/>
    </row>
    <row r="339" spans="2:8" x14ac:dyDescent="0.2">
      <c r="E339" s="26"/>
    </row>
    <row r="340" spans="2:8" x14ac:dyDescent="0.2">
      <c r="E340" s="26"/>
    </row>
    <row r="341" spans="2:8" x14ac:dyDescent="0.2">
      <c r="E341" s="26"/>
    </row>
    <row r="342" spans="2:8" x14ac:dyDescent="0.2">
      <c r="E342" s="26"/>
    </row>
    <row r="343" spans="2:8" x14ac:dyDescent="0.2">
      <c r="E343" s="26"/>
    </row>
    <row r="344" spans="2:8" x14ac:dyDescent="0.2">
      <c r="E344" s="26"/>
    </row>
    <row r="345" spans="2:8" x14ac:dyDescent="0.2">
      <c r="E345" s="26"/>
    </row>
    <row r="346" spans="2:8" x14ac:dyDescent="0.2">
      <c r="E346" s="26"/>
    </row>
    <row r="347" spans="2:8" s="29" customFormat="1" x14ac:dyDescent="0.2">
      <c r="B347" s="30"/>
      <c r="C347" s="31"/>
      <c r="E347" s="32"/>
      <c r="H347" s="31"/>
    </row>
    <row r="348" spans="2:8" s="29" customFormat="1" x14ac:dyDescent="0.2">
      <c r="B348" s="30"/>
      <c r="C348" s="31"/>
      <c r="E348" s="32"/>
      <c r="H348" s="31"/>
    </row>
    <row r="349" spans="2:8" x14ac:dyDescent="0.2">
      <c r="E349" s="26"/>
    </row>
    <row r="350" spans="2:8" x14ac:dyDescent="0.2">
      <c r="E350" s="26"/>
    </row>
    <row r="351" spans="2:8" x14ac:dyDescent="0.2">
      <c r="E351" s="26"/>
    </row>
    <row r="352" spans="2:8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  <row r="3289" spans="5:5" x14ac:dyDescent="0.2">
      <c r="E3289" s="26"/>
    </row>
    <row r="3290" spans="5:5" x14ac:dyDescent="0.2">
      <c r="E3290" s="26"/>
    </row>
    <row r="3291" spans="5:5" x14ac:dyDescent="0.2">
      <c r="E3291" s="26"/>
    </row>
    <row r="3292" spans="5:5" x14ac:dyDescent="0.2">
      <c r="E3292" s="26"/>
    </row>
    <row r="3293" spans="5:5" x14ac:dyDescent="0.2">
      <c r="E3293" s="26"/>
    </row>
    <row r="3294" spans="5:5" x14ac:dyDescent="0.2">
      <c r="E3294" s="26"/>
    </row>
    <row r="3295" spans="5:5" x14ac:dyDescent="0.2">
      <c r="E3295" s="26"/>
    </row>
    <row r="3296" spans="5:5" x14ac:dyDescent="0.2">
      <c r="E3296" s="26"/>
    </row>
    <row r="3297" spans="5:5" x14ac:dyDescent="0.2">
      <c r="E3297" s="26"/>
    </row>
    <row r="3298" spans="5:5" x14ac:dyDescent="0.2">
      <c r="E3298" s="26"/>
    </row>
    <row r="3299" spans="5:5" x14ac:dyDescent="0.2">
      <c r="E3299" s="26"/>
    </row>
    <row r="3300" spans="5:5" x14ac:dyDescent="0.2">
      <c r="E3300" s="26"/>
    </row>
    <row r="3301" spans="5:5" x14ac:dyDescent="0.2">
      <c r="E3301" s="26"/>
    </row>
    <row r="3302" spans="5:5" x14ac:dyDescent="0.2">
      <c r="E3302" s="26"/>
    </row>
    <row r="3303" spans="5:5" x14ac:dyDescent="0.2">
      <c r="E3303" s="26"/>
    </row>
    <row r="3304" spans="5:5" x14ac:dyDescent="0.2">
      <c r="E3304" s="26"/>
    </row>
    <row r="3305" spans="5:5" x14ac:dyDescent="0.2">
      <c r="E3305" s="26"/>
    </row>
    <row r="3306" spans="5:5" x14ac:dyDescent="0.2">
      <c r="E3306" s="26"/>
    </row>
    <row r="3307" spans="5:5" x14ac:dyDescent="0.2">
      <c r="E3307" s="26"/>
    </row>
    <row r="3308" spans="5:5" x14ac:dyDescent="0.2">
      <c r="E3308" s="26"/>
    </row>
    <row r="3309" spans="5:5" x14ac:dyDescent="0.2">
      <c r="E3309" s="26"/>
    </row>
    <row r="3310" spans="5:5" x14ac:dyDescent="0.2">
      <c r="E3310" s="26"/>
    </row>
    <row r="3311" spans="5:5" x14ac:dyDescent="0.2">
      <c r="E3311" s="26"/>
    </row>
    <row r="3312" spans="5:5" x14ac:dyDescent="0.2">
      <c r="E3312" s="26"/>
    </row>
    <row r="3313" spans="5:5" x14ac:dyDescent="0.2">
      <c r="E3313" s="26"/>
    </row>
    <row r="3314" spans="5:5" x14ac:dyDescent="0.2">
      <c r="E3314" s="26"/>
    </row>
    <row r="3315" spans="5:5" x14ac:dyDescent="0.2">
      <c r="E3315" s="26"/>
    </row>
    <row r="3316" spans="5:5" x14ac:dyDescent="0.2">
      <c r="E3316" s="26"/>
    </row>
    <row r="3317" spans="5:5" x14ac:dyDescent="0.2">
      <c r="E3317" s="26"/>
    </row>
    <row r="3318" spans="5:5" x14ac:dyDescent="0.2">
      <c r="E3318" s="26"/>
    </row>
    <row r="3319" spans="5:5" x14ac:dyDescent="0.2">
      <c r="E3319" s="26"/>
    </row>
    <row r="3320" spans="5:5" x14ac:dyDescent="0.2">
      <c r="E3320" s="26"/>
    </row>
    <row r="3321" spans="5:5" x14ac:dyDescent="0.2">
      <c r="E3321" s="26"/>
    </row>
    <row r="3322" spans="5:5" x14ac:dyDescent="0.2">
      <c r="E3322" s="26"/>
    </row>
    <row r="3323" spans="5:5" x14ac:dyDescent="0.2">
      <c r="E3323" s="26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3227"/>
  <sheetViews>
    <sheetView topLeftCell="A166" workbookViewId="0">
      <selection activeCell="A211" sqref="A211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SUM(C212:C409)</f>
        <v>0</v>
      </c>
      <c r="D1" s="3">
        <f>SUM(D212:D409)</f>
        <v>0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15367</v>
      </c>
      <c r="B3" s="11">
        <v>42006</v>
      </c>
      <c r="C3" s="12">
        <v>100</v>
      </c>
      <c r="D3" s="12">
        <v>7.62</v>
      </c>
      <c r="E3" s="15"/>
      <c r="H3" s="10"/>
      <c r="I3" s="10"/>
    </row>
    <row r="4" spans="1:10" x14ac:dyDescent="0.2">
      <c r="A4" s="10">
        <v>15368</v>
      </c>
      <c r="B4" s="11">
        <v>42006</v>
      </c>
      <c r="C4" s="12">
        <v>140</v>
      </c>
      <c r="D4" s="12">
        <v>10.67</v>
      </c>
      <c r="E4" s="17"/>
      <c r="H4" s="12"/>
      <c r="I4" s="10"/>
    </row>
    <row r="5" spans="1:10" x14ac:dyDescent="0.2">
      <c r="A5" s="10">
        <v>15369</v>
      </c>
      <c r="B5" s="11">
        <v>42006</v>
      </c>
      <c r="C5" s="12">
        <v>11.91</v>
      </c>
      <c r="D5" s="12">
        <v>0.91</v>
      </c>
      <c r="E5" s="15" t="s">
        <v>11</v>
      </c>
      <c r="H5" s="10"/>
      <c r="I5" s="10"/>
    </row>
    <row r="6" spans="1:10" x14ac:dyDescent="0.2">
      <c r="A6" s="10">
        <v>15370</v>
      </c>
      <c r="B6" s="11">
        <v>42006</v>
      </c>
      <c r="C6" s="12">
        <v>17.27</v>
      </c>
      <c r="D6" s="12">
        <v>1.32</v>
      </c>
      <c r="E6" s="17"/>
      <c r="H6" s="12"/>
      <c r="I6" s="10"/>
    </row>
    <row r="7" spans="1:10" x14ac:dyDescent="0.2">
      <c r="A7" s="10">
        <v>15371</v>
      </c>
      <c r="B7" s="11">
        <v>42006</v>
      </c>
      <c r="C7" s="12">
        <v>39</v>
      </c>
      <c r="D7" s="12"/>
      <c r="E7" s="13" t="s">
        <v>219</v>
      </c>
      <c r="H7" s="12"/>
      <c r="I7" s="10"/>
    </row>
    <row r="8" spans="1:10" x14ac:dyDescent="0.2">
      <c r="A8" s="10">
        <v>15372</v>
      </c>
      <c r="B8" s="11">
        <v>42006</v>
      </c>
      <c r="C8" s="12">
        <v>172.12</v>
      </c>
      <c r="D8" s="12">
        <v>13.12</v>
      </c>
      <c r="E8" s="15" t="s">
        <v>11</v>
      </c>
      <c r="F8" s="33">
        <f>+C5+C8</f>
        <v>184.03</v>
      </c>
      <c r="G8" s="34">
        <v>182.75</v>
      </c>
      <c r="H8" s="10"/>
      <c r="I8" s="10"/>
    </row>
    <row r="9" spans="1:10" x14ac:dyDescent="0.2">
      <c r="A9" s="10">
        <v>15373</v>
      </c>
      <c r="B9" s="11">
        <v>42007</v>
      </c>
      <c r="C9" s="12">
        <v>35.72</v>
      </c>
      <c r="D9" s="12">
        <v>2.72</v>
      </c>
      <c r="E9" s="17"/>
      <c r="H9" s="12"/>
      <c r="I9" s="10"/>
    </row>
    <row r="10" spans="1:10" x14ac:dyDescent="0.2">
      <c r="A10" s="10">
        <v>15374</v>
      </c>
      <c r="B10" s="11">
        <v>42007</v>
      </c>
      <c r="C10" s="12">
        <v>14.02</v>
      </c>
      <c r="D10" s="12">
        <v>1.07</v>
      </c>
      <c r="E10" s="17"/>
      <c r="H10" s="12"/>
      <c r="I10" s="10"/>
    </row>
    <row r="11" spans="1:10" x14ac:dyDescent="0.2">
      <c r="A11" s="10">
        <v>15375</v>
      </c>
      <c r="B11" s="11">
        <v>42007</v>
      </c>
      <c r="C11" s="12">
        <v>6.5</v>
      </c>
      <c r="D11" s="12">
        <v>0.5</v>
      </c>
      <c r="E11" s="17"/>
      <c r="H11" s="12"/>
      <c r="I11" s="10"/>
    </row>
    <row r="12" spans="1:10" x14ac:dyDescent="0.2">
      <c r="A12" s="10">
        <v>15376</v>
      </c>
      <c r="B12" s="11">
        <v>42007</v>
      </c>
      <c r="C12" s="12">
        <v>121.24</v>
      </c>
      <c r="D12" s="12">
        <v>9.24</v>
      </c>
      <c r="E12" s="15" t="s">
        <v>220</v>
      </c>
      <c r="H12" s="10"/>
      <c r="I12" s="10"/>
    </row>
    <row r="13" spans="1:10" x14ac:dyDescent="0.2">
      <c r="A13" s="10">
        <v>15377</v>
      </c>
      <c r="B13" s="11">
        <v>42007</v>
      </c>
      <c r="C13" s="12">
        <v>59.54</v>
      </c>
      <c r="D13" s="12">
        <v>4.54</v>
      </c>
      <c r="E13" s="17"/>
      <c r="F13" s="33">
        <f>70.7+60+80</f>
        <v>210.7</v>
      </c>
      <c r="G13" s="34">
        <v>208.21</v>
      </c>
      <c r="H13" s="12"/>
      <c r="I13" s="10"/>
    </row>
    <row r="14" spans="1:10" x14ac:dyDescent="0.2">
      <c r="A14" s="10">
        <v>15378</v>
      </c>
      <c r="B14" s="11">
        <v>42009</v>
      </c>
      <c r="C14" s="12">
        <v>29.23</v>
      </c>
      <c r="D14" s="12">
        <v>2.23</v>
      </c>
      <c r="E14" s="17"/>
      <c r="F14" s="18"/>
      <c r="G14" s="19"/>
      <c r="H14" s="12"/>
      <c r="I14" s="10"/>
    </row>
    <row r="15" spans="1:10" x14ac:dyDescent="0.2">
      <c r="A15" s="10">
        <v>15379</v>
      </c>
      <c r="B15" s="11">
        <v>42009</v>
      </c>
      <c r="C15" s="12">
        <v>103.92</v>
      </c>
      <c r="D15" s="12">
        <v>7.92</v>
      </c>
      <c r="E15" s="13" t="s">
        <v>221</v>
      </c>
      <c r="H15" s="12"/>
      <c r="I15" s="10"/>
    </row>
    <row r="16" spans="1:10" x14ac:dyDescent="0.2">
      <c r="A16" s="10">
        <v>15380</v>
      </c>
      <c r="B16" s="11">
        <v>42009</v>
      </c>
      <c r="C16" s="12">
        <v>5.41</v>
      </c>
      <c r="D16" s="12">
        <v>0.41</v>
      </c>
      <c r="E16" s="15" t="s">
        <v>26</v>
      </c>
      <c r="H16" s="10"/>
      <c r="I16" s="10"/>
    </row>
    <row r="17" spans="1:9" x14ac:dyDescent="0.2">
      <c r="A17" s="10">
        <v>15381</v>
      </c>
      <c r="B17" s="11">
        <v>42009</v>
      </c>
      <c r="C17" s="12">
        <v>25</v>
      </c>
      <c r="D17" s="12">
        <v>1.91</v>
      </c>
      <c r="E17" s="17"/>
      <c r="H17" s="12"/>
      <c r="I17" s="10"/>
    </row>
    <row r="18" spans="1:9" x14ac:dyDescent="0.2">
      <c r="A18" s="10">
        <v>15382</v>
      </c>
      <c r="B18" s="11">
        <v>42009</v>
      </c>
      <c r="C18" s="12">
        <v>25</v>
      </c>
      <c r="D18" s="12"/>
      <c r="E18" s="17"/>
      <c r="F18" s="33">
        <v>27.33</v>
      </c>
      <c r="G18" s="34">
        <v>26.92</v>
      </c>
      <c r="H18" s="12"/>
      <c r="I18" s="10"/>
    </row>
    <row r="19" spans="1:9" x14ac:dyDescent="0.2">
      <c r="A19" s="10">
        <v>15383</v>
      </c>
      <c r="B19" s="11">
        <v>42010</v>
      </c>
      <c r="C19" s="12">
        <v>27.06</v>
      </c>
      <c r="D19" s="12">
        <v>2.06</v>
      </c>
      <c r="E19" s="15" t="s">
        <v>21</v>
      </c>
      <c r="H19" s="10"/>
      <c r="I19" s="10"/>
    </row>
    <row r="20" spans="1:9" x14ac:dyDescent="0.2">
      <c r="A20" s="10">
        <v>15384</v>
      </c>
      <c r="B20" s="11">
        <v>42010</v>
      </c>
      <c r="C20" s="12">
        <v>20</v>
      </c>
      <c r="D20" s="12">
        <v>1.52</v>
      </c>
      <c r="E20" s="17"/>
      <c r="H20" s="12"/>
      <c r="I20" s="10"/>
    </row>
    <row r="21" spans="1:9" x14ac:dyDescent="0.2">
      <c r="A21" s="10">
        <v>15385</v>
      </c>
      <c r="B21" s="11">
        <v>42010</v>
      </c>
      <c r="C21" s="12">
        <v>137.47999999999999</v>
      </c>
      <c r="D21" s="12">
        <v>10.48</v>
      </c>
      <c r="E21" s="15" t="s">
        <v>7</v>
      </c>
      <c r="H21" s="10"/>
      <c r="I21" s="10"/>
    </row>
    <row r="22" spans="1:9" x14ac:dyDescent="0.2">
      <c r="A22" s="10">
        <v>15386</v>
      </c>
      <c r="B22" s="11">
        <v>42010</v>
      </c>
      <c r="C22" s="12">
        <v>108.25</v>
      </c>
      <c r="D22" s="12">
        <v>8.25</v>
      </c>
      <c r="E22" s="15" t="s">
        <v>222</v>
      </c>
      <c r="F22" s="21"/>
      <c r="G22" s="22"/>
      <c r="H22" s="10"/>
      <c r="I22" s="10"/>
    </row>
    <row r="23" spans="1:9" x14ac:dyDescent="0.2">
      <c r="A23" s="10">
        <v>15387</v>
      </c>
      <c r="B23" s="11">
        <v>42010</v>
      </c>
      <c r="C23" s="12">
        <v>235</v>
      </c>
      <c r="D23" s="12"/>
      <c r="E23" s="15" t="s">
        <v>223</v>
      </c>
      <c r="H23" s="10"/>
      <c r="I23" s="10"/>
    </row>
    <row r="24" spans="1:9" x14ac:dyDescent="0.2">
      <c r="A24" s="10">
        <v>15388</v>
      </c>
      <c r="B24" s="11">
        <v>42010</v>
      </c>
      <c r="C24" s="12">
        <v>18</v>
      </c>
      <c r="D24" s="12">
        <v>1.37</v>
      </c>
      <c r="E24" s="15" t="s">
        <v>7</v>
      </c>
      <c r="F24" s="21"/>
      <c r="G24" s="22"/>
      <c r="H24" s="10"/>
      <c r="I24" s="10"/>
    </row>
    <row r="25" spans="1:9" x14ac:dyDescent="0.2">
      <c r="A25" s="10">
        <v>15389</v>
      </c>
      <c r="B25" s="11">
        <v>42010</v>
      </c>
      <c r="C25" s="12">
        <v>64.95</v>
      </c>
      <c r="D25" s="12">
        <v>4.95</v>
      </c>
      <c r="E25" s="13" t="s">
        <v>224</v>
      </c>
      <c r="F25" s="33">
        <f>61.24+C21+C24</f>
        <v>216.72</v>
      </c>
      <c r="G25" s="34">
        <v>213.56</v>
      </c>
      <c r="H25" s="12"/>
      <c r="I25" s="10"/>
    </row>
    <row r="26" spans="1:9" x14ac:dyDescent="0.2">
      <c r="A26" s="10">
        <v>15390</v>
      </c>
      <c r="B26" s="11">
        <v>42011</v>
      </c>
      <c r="C26" s="12">
        <v>22.98</v>
      </c>
      <c r="D26" s="12">
        <v>1.75</v>
      </c>
      <c r="E26" s="17"/>
      <c r="H26" s="12"/>
      <c r="I26" s="10"/>
    </row>
    <row r="27" spans="1:9" x14ac:dyDescent="0.2">
      <c r="A27" s="10">
        <v>15391</v>
      </c>
      <c r="B27" s="11">
        <v>42011</v>
      </c>
      <c r="C27" s="12">
        <v>8.61</v>
      </c>
      <c r="D27" s="12">
        <v>0.66</v>
      </c>
      <c r="E27" s="17"/>
      <c r="F27" s="18"/>
      <c r="G27" s="19"/>
      <c r="H27" s="12"/>
      <c r="I27" s="10"/>
    </row>
    <row r="28" spans="1:9" x14ac:dyDescent="0.2">
      <c r="A28" s="10">
        <v>15392</v>
      </c>
      <c r="B28" s="11">
        <v>42011</v>
      </c>
      <c r="C28" s="12">
        <v>33.17</v>
      </c>
      <c r="D28" s="12">
        <v>2.5299999999999998</v>
      </c>
      <c r="E28" s="17"/>
      <c r="F28" s="18"/>
      <c r="G28" s="19"/>
      <c r="H28" s="12"/>
      <c r="I28" s="10"/>
    </row>
    <row r="29" spans="1:9" x14ac:dyDescent="0.2">
      <c r="A29" s="10">
        <v>15393</v>
      </c>
      <c r="B29" s="11">
        <v>42011</v>
      </c>
      <c r="C29" s="12">
        <v>11.91</v>
      </c>
      <c r="D29" s="12">
        <v>0.91</v>
      </c>
      <c r="E29" s="17"/>
      <c r="H29" s="12"/>
      <c r="I29" s="10"/>
    </row>
    <row r="30" spans="1:9" x14ac:dyDescent="0.2">
      <c r="A30" s="10">
        <v>15394</v>
      </c>
      <c r="B30" s="11">
        <v>42011</v>
      </c>
      <c r="C30" s="12">
        <v>78</v>
      </c>
      <c r="D30" s="12">
        <v>5.94</v>
      </c>
      <c r="E30" s="15" t="s">
        <v>7</v>
      </c>
      <c r="F30" s="21"/>
      <c r="G30" s="22"/>
      <c r="H30" s="10"/>
      <c r="I30" s="10"/>
    </row>
    <row r="31" spans="1:9" x14ac:dyDescent="0.2">
      <c r="A31" s="10">
        <v>15395</v>
      </c>
      <c r="B31" s="11">
        <v>42011</v>
      </c>
      <c r="C31" s="12">
        <v>29</v>
      </c>
      <c r="D31" s="12"/>
      <c r="E31" s="15" t="s">
        <v>225</v>
      </c>
      <c r="H31" s="10"/>
      <c r="I31" s="10"/>
    </row>
    <row r="32" spans="1:9" x14ac:dyDescent="0.2">
      <c r="A32" s="10">
        <v>15396</v>
      </c>
      <c r="B32" s="11">
        <v>42011</v>
      </c>
      <c r="C32" s="12">
        <v>201.89</v>
      </c>
      <c r="D32" s="12">
        <v>15.39</v>
      </c>
      <c r="E32" s="15" t="s">
        <v>226</v>
      </c>
      <c r="F32" s="21"/>
      <c r="G32" s="22"/>
      <c r="H32" s="10"/>
      <c r="I32" s="10"/>
    </row>
    <row r="33" spans="1:9" x14ac:dyDescent="0.2">
      <c r="A33" s="10">
        <v>15397</v>
      </c>
      <c r="B33" s="11">
        <v>42011</v>
      </c>
      <c r="C33" s="12">
        <v>113.66</v>
      </c>
      <c r="D33" s="12">
        <v>8.66</v>
      </c>
      <c r="E33" s="15" t="s">
        <v>11</v>
      </c>
      <c r="H33" s="10"/>
      <c r="I33" s="10"/>
    </row>
    <row r="34" spans="1:9" x14ac:dyDescent="0.2">
      <c r="A34" s="10">
        <v>15398</v>
      </c>
      <c r="B34" s="11">
        <v>42011</v>
      </c>
      <c r="C34" s="12">
        <v>21.11</v>
      </c>
      <c r="D34" s="12">
        <v>1.61</v>
      </c>
      <c r="E34" s="15" t="s">
        <v>11</v>
      </c>
      <c r="F34" s="21"/>
      <c r="G34" s="22"/>
      <c r="H34" s="10"/>
      <c r="I34" s="10"/>
    </row>
    <row r="35" spans="1:9" x14ac:dyDescent="0.2">
      <c r="A35" s="10">
        <v>15399</v>
      </c>
      <c r="B35" s="11">
        <v>42011</v>
      </c>
      <c r="C35" s="12">
        <v>80</v>
      </c>
      <c r="D35" s="12"/>
      <c r="E35" s="13" t="s">
        <v>227</v>
      </c>
      <c r="F35" s="33">
        <f>+C34+C33+C31+C30</f>
        <v>241.76999999999998</v>
      </c>
      <c r="G35" s="34">
        <v>238.54</v>
      </c>
      <c r="H35" s="12"/>
      <c r="I35" s="10"/>
    </row>
    <row r="36" spans="1:9" x14ac:dyDescent="0.2">
      <c r="A36" s="10">
        <v>15400</v>
      </c>
      <c r="B36" s="11">
        <v>42012</v>
      </c>
      <c r="C36" s="12">
        <v>282</v>
      </c>
      <c r="D36" s="12"/>
      <c r="E36" s="15" t="s">
        <v>228</v>
      </c>
      <c r="H36" s="10"/>
      <c r="I36" s="10"/>
    </row>
    <row r="37" spans="1:9" x14ac:dyDescent="0.2">
      <c r="A37" s="10">
        <v>15401</v>
      </c>
      <c r="B37" s="11">
        <v>42012</v>
      </c>
      <c r="C37" s="12">
        <v>283.62</v>
      </c>
      <c r="D37" s="12">
        <v>21.62</v>
      </c>
      <c r="E37" s="15" t="s">
        <v>11</v>
      </c>
      <c r="H37" s="10"/>
      <c r="I37" s="10"/>
    </row>
    <row r="38" spans="1:9" x14ac:dyDescent="0.2">
      <c r="A38" s="10">
        <v>15402</v>
      </c>
      <c r="B38" s="11">
        <v>42012</v>
      </c>
      <c r="C38" s="12">
        <v>8</v>
      </c>
      <c r="D38" s="12">
        <v>0.61</v>
      </c>
      <c r="E38" s="17"/>
      <c r="H38" s="12"/>
      <c r="I38" s="10"/>
    </row>
    <row r="39" spans="1:9" x14ac:dyDescent="0.2">
      <c r="A39" s="10">
        <v>15403</v>
      </c>
      <c r="B39" s="11">
        <v>42012</v>
      </c>
      <c r="C39" s="12">
        <v>17</v>
      </c>
      <c r="D39" s="12"/>
      <c r="E39" s="15" t="s">
        <v>228</v>
      </c>
      <c r="F39" s="33">
        <v>0</v>
      </c>
      <c r="G39" s="34">
        <f>+F39*0.97831</f>
        <v>0</v>
      </c>
      <c r="H39" s="10"/>
      <c r="I39" s="10"/>
    </row>
    <row r="40" spans="1:9" x14ac:dyDescent="0.2">
      <c r="A40" s="10">
        <v>15404</v>
      </c>
      <c r="B40" s="11">
        <v>42013</v>
      </c>
      <c r="C40" s="12">
        <v>208.92</v>
      </c>
      <c r="D40" s="12">
        <v>15.92</v>
      </c>
      <c r="E40" s="15" t="s">
        <v>21</v>
      </c>
      <c r="F40" s="21"/>
      <c r="G40" s="22"/>
      <c r="H40" s="10"/>
      <c r="I40" s="10"/>
    </row>
    <row r="41" spans="1:9" x14ac:dyDescent="0.2">
      <c r="A41" s="10">
        <v>15405</v>
      </c>
      <c r="B41" s="11">
        <v>42013</v>
      </c>
      <c r="C41" s="12">
        <v>38</v>
      </c>
      <c r="D41" s="12"/>
      <c r="E41" s="15" t="s">
        <v>229</v>
      </c>
      <c r="H41" s="10"/>
      <c r="I41" s="10"/>
    </row>
    <row r="42" spans="1:9" x14ac:dyDescent="0.2">
      <c r="A42" s="10">
        <v>15406</v>
      </c>
      <c r="B42" s="11">
        <v>42013</v>
      </c>
      <c r="C42" s="12">
        <v>76.240000000000009</v>
      </c>
      <c r="D42" s="12">
        <v>5.81</v>
      </c>
      <c r="E42" s="15" t="s">
        <v>11</v>
      </c>
      <c r="H42" s="10"/>
      <c r="I42" s="10"/>
    </row>
    <row r="43" spans="1:9" x14ac:dyDescent="0.2">
      <c r="A43" s="10">
        <v>15407</v>
      </c>
      <c r="B43" s="11">
        <v>42013</v>
      </c>
      <c r="C43" s="12">
        <v>101.76</v>
      </c>
      <c r="D43" s="12">
        <v>7.76</v>
      </c>
      <c r="E43" s="15" t="s">
        <v>7</v>
      </c>
      <c r="H43" s="10"/>
      <c r="I43" s="10"/>
    </row>
    <row r="44" spans="1:9" x14ac:dyDescent="0.2">
      <c r="A44" s="10">
        <v>15408</v>
      </c>
      <c r="B44" s="11">
        <v>42013</v>
      </c>
      <c r="C44" s="12">
        <v>32.479999999999997</v>
      </c>
      <c r="D44" s="12">
        <v>2.48</v>
      </c>
      <c r="E44" s="15" t="s">
        <v>11</v>
      </c>
      <c r="H44" s="10"/>
      <c r="I44" s="10"/>
    </row>
    <row r="45" spans="1:9" x14ac:dyDescent="0.2">
      <c r="A45" s="10">
        <v>15409</v>
      </c>
      <c r="B45" s="11">
        <v>42013</v>
      </c>
      <c r="C45" s="12">
        <v>135.31</v>
      </c>
      <c r="D45" s="12">
        <v>10.31</v>
      </c>
      <c r="E45" s="15" t="s">
        <v>230</v>
      </c>
      <c r="F45" s="33">
        <f>50+C42+C43+C44+90</f>
        <v>350.48</v>
      </c>
      <c r="G45" s="34">
        <v>344.54</v>
      </c>
      <c r="H45" s="10"/>
      <c r="I45" s="10"/>
    </row>
    <row r="46" spans="1:9" x14ac:dyDescent="0.2">
      <c r="A46" s="10">
        <v>15410</v>
      </c>
      <c r="B46" s="11">
        <v>42014</v>
      </c>
      <c r="C46" s="12">
        <v>128.82</v>
      </c>
      <c r="D46" s="12">
        <v>9.82</v>
      </c>
      <c r="E46" s="15" t="s">
        <v>7</v>
      </c>
      <c r="H46" s="10"/>
      <c r="I46" s="10"/>
    </row>
    <row r="47" spans="1:9" x14ac:dyDescent="0.2">
      <c r="A47" s="10">
        <v>15411</v>
      </c>
      <c r="B47" s="11">
        <v>42014</v>
      </c>
      <c r="C47" s="12">
        <v>36.75</v>
      </c>
      <c r="D47" s="12">
        <v>2.8</v>
      </c>
      <c r="E47" s="15" t="s">
        <v>11</v>
      </c>
      <c r="H47" s="10"/>
      <c r="I47" s="10"/>
    </row>
    <row r="48" spans="1:9" x14ac:dyDescent="0.2">
      <c r="A48" s="10">
        <v>15412</v>
      </c>
      <c r="B48" s="11">
        <v>42014</v>
      </c>
      <c r="C48" s="12">
        <v>107.17</v>
      </c>
      <c r="D48" s="12">
        <v>8.17</v>
      </c>
      <c r="E48" s="15" t="s">
        <v>11</v>
      </c>
      <c r="F48" s="33">
        <f>+C46+C47+C48</f>
        <v>272.74</v>
      </c>
      <c r="G48" s="34">
        <v>269.43</v>
      </c>
      <c r="H48" s="10"/>
      <c r="I48" s="10"/>
    </row>
    <row r="49" spans="1:9" x14ac:dyDescent="0.2">
      <c r="A49" s="10">
        <v>15413</v>
      </c>
      <c r="B49" s="11">
        <v>42016</v>
      </c>
      <c r="C49" s="12">
        <v>11.8</v>
      </c>
      <c r="D49" s="12">
        <v>0.9</v>
      </c>
      <c r="E49" s="17"/>
      <c r="H49" s="12"/>
      <c r="I49" s="10"/>
    </row>
    <row r="50" spans="1:9" x14ac:dyDescent="0.2">
      <c r="A50" s="10">
        <v>15414</v>
      </c>
      <c r="B50" s="11">
        <v>42016</v>
      </c>
      <c r="C50" s="12">
        <v>15.16</v>
      </c>
      <c r="D50" s="12">
        <v>1.1599999999999999</v>
      </c>
      <c r="E50" s="17"/>
      <c r="H50" s="12"/>
      <c r="I50" s="10"/>
    </row>
    <row r="51" spans="1:9" x14ac:dyDescent="0.2">
      <c r="A51" s="10">
        <v>15415</v>
      </c>
      <c r="B51" s="11">
        <v>42016</v>
      </c>
      <c r="C51" s="12">
        <v>17.21</v>
      </c>
      <c r="D51" s="12">
        <v>1.31</v>
      </c>
      <c r="E51" s="17"/>
      <c r="H51" s="12"/>
      <c r="I51" s="10"/>
    </row>
    <row r="52" spans="1:9" x14ac:dyDescent="0.2">
      <c r="A52" s="10">
        <v>15416</v>
      </c>
      <c r="B52" s="11">
        <v>42016</v>
      </c>
      <c r="C52" s="12">
        <v>92.01</v>
      </c>
      <c r="D52" s="12">
        <v>7.01</v>
      </c>
      <c r="E52" s="15" t="s">
        <v>7</v>
      </c>
      <c r="H52" s="10"/>
      <c r="I52" s="10"/>
    </row>
    <row r="53" spans="1:9" x14ac:dyDescent="0.2">
      <c r="A53" s="10">
        <v>15417</v>
      </c>
      <c r="B53" s="11">
        <v>42016</v>
      </c>
      <c r="C53" s="12">
        <v>124.49</v>
      </c>
      <c r="D53" s="12">
        <v>9.49</v>
      </c>
      <c r="E53" s="15" t="s">
        <v>11</v>
      </c>
      <c r="H53" s="10"/>
      <c r="I53" s="10"/>
    </row>
    <row r="54" spans="1:9" x14ac:dyDescent="0.2">
      <c r="A54" s="10">
        <v>15418</v>
      </c>
      <c r="B54" s="11">
        <v>42016</v>
      </c>
      <c r="C54" s="12">
        <v>45</v>
      </c>
      <c r="D54" s="12">
        <v>3.43</v>
      </c>
      <c r="E54" s="17"/>
      <c r="H54" s="12"/>
      <c r="I54" s="10"/>
    </row>
    <row r="55" spans="1:9" x14ac:dyDescent="0.2">
      <c r="A55" s="10">
        <v>15419</v>
      </c>
      <c r="B55" s="11">
        <v>42016</v>
      </c>
      <c r="C55" s="12">
        <v>107.17</v>
      </c>
      <c r="D55" s="12">
        <v>8.17</v>
      </c>
      <c r="E55" s="17"/>
      <c r="F55" s="18"/>
      <c r="G55" s="19"/>
      <c r="H55" s="12"/>
      <c r="I55" s="10"/>
    </row>
    <row r="56" spans="1:9" x14ac:dyDescent="0.2">
      <c r="A56" s="10">
        <v>15420</v>
      </c>
      <c r="B56" s="11">
        <v>42016</v>
      </c>
      <c r="C56" s="12">
        <v>10</v>
      </c>
      <c r="D56" s="12"/>
      <c r="E56" s="13" t="s">
        <v>8</v>
      </c>
      <c r="F56" s="18"/>
      <c r="G56" s="19"/>
      <c r="H56" s="12"/>
      <c r="I56" s="10"/>
    </row>
    <row r="57" spans="1:9" x14ac:dyDescent="0.2">
      <c r="A57" s="10">
        <v>15421</v>
      </c>
      <c r="B57" s="11">
        <v>42016</v>
      </c>
      <c r="C57" s="12">
        <v>62.79</v>
      </c>
      <c r="D57" s="12">
        <v>4.79</v>
      </c>
      <c r="E57" s="17"/>
      <c r="F57" s="18"/>
      <c r="G57" s="19"/>
      <c r="H57" s="12"/>
      <c r="I57" s="10"/>
    </row>
    <row r="58" spans="1:9" x14ac:dyDescent="0.2">
      <c r="A58" s="10">
        <v>15422</v>
      </c>
      <c r="B58" s="11">
        <v>42016</v>
      </c>
      <c r="C58" s="12">
        <v>500</v>
      </c>
      <c r="D58" s="12"/>
      <c r="E58" s="15" t="s">
        <v>231</v>
      </c>
      <c r="F58" s="33">
        <f>+C32+C53+C37+C52+C58</f>
        <v>1202.01</v>
      </c>
      <c r="G58" s="34">
        <v>1188.58</v>
      </c>
      <c r="H58" s="10"/>
      <c r="I58" s="10"/>
    </row>
    <row r="59" spans="1:9" x14ac:dyDescent="0.2">
      <c r="A59" s="10">
        <v>15423</v>
      </c>
      <c r="B59" s="11">
        <v>42017</v>
      </c>
      <c r="C59" s="12">
        <v>95.26</v>
      </c>
      <c r="D59" s="12">
        <v>7.26</v>
      </c>
      <c r="E59" s="15" t="s">
        <v>7</v>
      </c>
      <c r="H59" s="10"/>
      <c r="I59" s="10"/>
    </row>
    <row r="60" spans="1:9" x14ac:dyDescent="0.2">
      <c r="A60" s="10">
        <v>15424</v>
      </c>
      <c r="B60" s="11">
        <v>42017</v>
      </c>
      <c r="C60" s="12">
        <v>171.04</v>
      </c>
      <c r="D60" s="12">
        <v>13.04</v>
      </c>
      <c r="E60" s="15" t="s">
        <v>11</v>
      </c>
      <c r="H60" s="10"/>
      <c r="I60" s="10"/>
    </row>
    <row r="61" spans="1:9" x14ac:dyDescent="0.2">
      <c r="A61" s="10">
        <v>15425</v>
      </c>
      <c r="B61" s="11">
        <v>42017</v>
      </c>
      <c r="C61" s="12">
        <v>67.349999999999994</v>
      </c>
      <c r="D61" s="12">
        <v>5.13</v>
      </c>
      <c r="E61" s="15" t="s">
        <v>11</v>
      </c>
      <c r="H61" s="10"/>
      <c r="I61" s="10"/>
    </row>
    <row r="62" spans="1:9" x14ac:dyDescent="0.2">
      <c r="A62" s="10">
        <v>15426</v>
      </c>
      <c r="B62" s="11">
        <v>42017</v>
      </c>
      <c r="C62" s="12">
        <v>342</v>
      </c>
      <c r="D62" s="12"/>
      <c r="E62" s="15" t="s">
        <v>25</v>
      </c>
      <c r="F62" s="21"/>
      <c r="G62" s="22"/>
      <c r="H62" s="10"/>
      <c r="I62" s="10"/>
    </row>
    <row r="63" spans="1:9" x14ac:dyDescent="0.2">
      <c r="A63" s="10">
        <v>15427</v>
      </c>
      <c r="B63" s="11">
        <v>42017</v>
      </c>
      <c r="C63" s="12">
        <v>355.06</v>
      </c>
      <c r="D63" s="12">
        <v>27.06</v>
      </c>
      <c r="E63" s="15" t="s">
        <v>232</v>
      </c>
      <c r="H63" s="10"/>
      <c r="I63" s="10"/>
    </row>
    <row r="64" spans="1:9" x14ac:dyDescent="0.2">
      <c r="A64" s="10">
        <v>15428</v>
      </c>
      <c r="B64" s="11">
        <v>42017</v>
      </c>
      <c r="C64" s="12">
        <v>110</v>
      </c>
      <c r="D64" s="12">
        <v>8.3800000000000008</v>
      </c>
      <c r="E64" s="13" t="s">
        <v>233</v>
      </c>
      <c r="H64" s="12"/>
      <c r="I64" s="10"/>
    </row>
    <row r="65" spans="1:9" x14ac:dyDescent="0.2">
      <c r="A65" s="10">
        <v>15429</v>
      </c>
      <c r="B65" s="11">
        <v>42017</v>
      </c>
      <c r="C65" s="12">
        <v>202</v>
      </c>
      <c r="D65" s="12">
        <v>15.4</v>
      </c>
      <c r="E65" s="15" t="s">
        <v>234</v>
      </c>
      <c r="F65" s="33">
        <f>+C59+C60+C61+30+C36+C39+50</f>
        <v>712.65</v>
      </c>
      <c r="G65" s="34">
        <v>705.69</v>
      </c>
      <c r="H65" s="10"/>
      <c r="I65" s="10"/>
    </row>
    <row r="66" spans="1:9" x14ac:dyDescent="0.2">
      <c r="A66" s="10">
        <v>15430</v>
      </c>
      <c r="B66" s="11">
        <v>42018</v>
      </c>
      <c r="C66" s="12">
        <v>45</v>
      </c>
      <c r="D66" s="12">
        <v>3.43</v>
      </c>
      <c r="E66" s="17"/>
      <c r="H66" s="12"/>
      <c r="I66" s="10"/>
    </row>
    <row r="67" spans="1:9" x14ac:dyDescent="0.2">
      <c r="A67" s="10">
        <v>15431</v>
      </c>
      <c r="B67" s="11">
        <v>42018</v>
      </c>
      <c r="C67" s="12">
        <v>21.59</v>
      </c>
      <c r="D67" s="12">
        <v>1.64</v>
      </c>
      <c r="E67" s="15" t="s">
        <v>11</v>
      </c>
      <c r="H67" s="10"/>
      <c r="I67" s="10"/>
    </row>
    <row r="68" spans="1:9" x14ac:dyDescent="0.2">
      <c r="A68" s="10">
        <v>15432</v>
      </c>
      <c r="B68" s="11">
        <v>42018</v>
      </c>
      <c r="C68" s="12">
        <v>20</v>
      </c>
      <c r="D68" s="12"/>
      <c r="E68" s="15" t="s">
        <v>25</v>
      </c>
      <c r="H68" s="10"/>
      <c r="I68" s="10"/>
    </row>
    <row r="69" spans="1:9" x14ac:dyDescent="0.2">
      <c r="A69" s="10">
        <v>15433</v>
      </c>
      <c r="B69" s="11">
        <v>42018</v>
      </c>
      <c r="C69" s="12">
        <v>122</v>
      </c>
      <c r="D69" s="12"/>
      <c r="E69" s="15" t="s">
        <v>235</v>
      </c>
      <c r="H69" s="10"/>
      <c r="I69" s="10"/>
    </row>
    <row r="70" spans="1:9" x14ac:dyDescent="0.2">
      <c r="A70" s="10">
        <v>15434</v>
      </c>
      <c r="B70" s="11">
        <v>42018</v>
      </c>
      <c r="C70" s="12">
        <v>150</v>
      </c>
      <c r="D70" s="12">
        <v>11.43</v>
      </c>
      <c r="E70" s="15" t="s">
        <v>236</v>
      </c>
      <c r="H70" s="10"/>
      <c r="I70" s="10"/>
    </row>
    <row r="71" spans="1:9" x14ac:dyDescent="0.2">
      <c r="A71" s="10">
        <v>15435</v>
      </c>
      <c r="B71" s="11">
        <v>42018</v>
      </c>
      <c r="C71" s="12">
        <v>51.42</v>
      </c>
      <c r="D71" s="12">
        <v>3.92</v>
      </c>
      <c r="E71" s="15" t="s">
        <v>237</v>
      </c>
      <c r="H71" s="10"/>
      <c r="I71" s="10"/>
    </row>
    <row r="72" spans="1:9" x14ac:dyDescent="0.2">
      <c r="A72" s="10">
        <v>15436</v>
      </c>
      <c r="B72" s="11">
        <v>42018</v>
      </c>
      <c r="C72" s="12">
        <v>143.76000000000002</v>
      </c>
      <c r="D72" s="12">
        <v>10.96</v>
      </c>
      <c r="E72" s="15" t="s">
        <v>238</v>
      </c>
      <c r="H72" s="10"/>
      <c r="I72" s="10"/>
    </row>
    <row r="73" spans="1:9" x14ac:dyDescent="0.2">
      <c r="A73" s="10">
        <v>15437</v>
      </c>
      <c r="B73" s="11">
        <v>42018</v>
      </c>
      <c r="C73" s="12">
        <v>122</v>
      </c>
      <c r="D73" s="12"/>
      <c r="E73" s="15" t="s">
        <v>229</v>
      </c>
      <c r="F73" s="33">
        <f>+C67</f>
        <v>21.59</v>
      </c>
      <c r="G73" s="34">
        <v>21.04</v>
      </c>
      <c r="H73" s="10"/>
      <c r="I73" s="10"/>
    </row>
    <row r="74" spans="1:9" x14ac:dyDescent="0.2">
      <c r="A74" s="10">
        <v>15438</v>
      </c>
      <c r="B74" s="11">
        <v>42019</v>
      </c>
      <c r="C74" s="12">
        <v>27.830000000000002</v>
      </c>
      <c r="D74" s="12">
        <v>2.12</v>
      </c>
      <c r="E74" s="15" t="s">
        <v>11</v>
      </c>
      <c r="H74" s="10"/>
      <c r="I74" s="10"/>
    </row>
    <row r="75" spans="1:9" x14ac:dyDescent="0.2">
      <c r="A75" s="10">
        <v>15439</v>
      </c>
      <c r="B75" s="11">
        <v>42019</v>
      </c>
      <c r="C75" s="12">
        <v>259</v>
      </c>
      <c r="D75" s="12">
        <v>19.739999999999998</v>
      </c>
      <c r="E75" s="15" t="s">
        <v>21</v>
      </c>
      <c r="H75" s="10"/>
      <c r="I75" s="10"/>
    </row>
    <row r="76" spans="1:9" x14ac:dyDescent="0.2">
      <c r="A76" s="10">
        <v>15440</v>
      </c>
      <c r="B76" s="11">
        <v>42019</v>
      </c>
      <c r="C76" s="12">
        <v>363</v>
      </c>
      <c r="D76" s="12">
        <v>27.66</v>
      </c>
      <c r="E76" s="13" t="s">
        <v>239</v>
      </c>
      <c r="H76" s="12"/>
      <c r="I76" s="10"/>
    </row>
    <row r="77" spans="1:9" x14ac:dyDescent="0.2">
      <c r="A77" s="10">
        <v>15441</v>
      </c>
      <c r="B77" s="11">
        <v>42019</v>
      </c>
      <c r="C77" s="12">
        <v>225</v>
      </c>
      <c r="D77" s="12">
        <v>17.149999999999999</v>
      </c>
      <c r="E77" s="15" t="s">
        <v>11</v>
      </c>
      <c r="H77" s="10"/>
      <c r="I77" s="10"/>
    </row>
    <row r="78" spans="1:9" x14ac:dyDescent="0.2">
      <c r="A78" s="10">
        <v>15442</v>
      </c>
      <c r="B78" s="11">
        <v>42019</v>
      </c>
      <c r="C78" s="12">
        <v>100.13</v>
      </c>
      <c r="D78" s="12">
        <v>7.63</v>
      </c>
      <c r="E78" s="15" t="s">
        <v>23</v>
      </c>
      <c r="F78" s="21"/>
      <c r="G78" s="22"/>
      <c r="H78" s="10"/>
      <c r="I78" s="10"/>
    </row>
    <row r="79" spans="1:9" x14ac:dyDescent="0.2">
      <c r="A79" s="10">
        <v>15443</v>
      </c>
      <c r="B79" s="11">
        <v>42019</v>
      </c>
      <c r="C79" s="12">
        <v>24.14</v>
      </c>
      <c r="D79" s="12">
        <v>1.84</v>
      </c>
      <c r="E79" s="13" t="s">
        <v>240</v>
      </c>
      <c r="F79" s="33">
        <f>+C74+51.42+C77+45.31+C78</f>
        <v>449.69</v>
      </c>
      <c r="G79" s="34">
        <v>440.4</v>
      </c>
      <c r="H79" s="12"/>
      <c r="I79" s="10"/>
    </row>
    <row r="80" spans="1:9" x14ac:dyDescent="0.2">
      <c r="A80" s="10">
        <v>15444</v>
      </c>
      <c r="B80" s="11">
        <v>42020</v>
      </c>
      <c r="C80" s="12">
        <v>48.660000000000004</v>
      </c>
      <c r="D80" s="12">
        <v>3.71</v>
      </c>
      <c r="E80" s="15" t="s">
        <v>11</v>
      </c>
      <c r="F80" s="21"/>
      <c r="G80" s="22"/>
      <c r="H80" s="10"/>
      <c r="I80" s="10"/>
    </row>
    <row r="81" spans="1:9" x14ac:dyDescent="0.2">
      <c r="A81" s="10">
        <v>15445</v>
      </c>
      <c r="B81" s="11">
        <v>42020</v>
      </c>
      <c r="C81" s="12">
        <v>37.89</v>
      </c>
      <c r="D81" s="12">
        <v>2.89</v>
      </c>
      <c r="E81" s="15" t="s">
        <v>11</v>
      </c>
      <c r="F81" s="21"/>
      <c r="G81" s="22"/>
      <c r="H81" s="10"/>
      <c r="I81" s="10"/>
    </row>
    <row r="82" spans="1:9" x14ac:dyDescent="0.2">
      <c r="A82" s="10">
        <v>15446</v>
      </c>
      <c r="B82" s="11">
        <v>42020</v>
      </c>
      <c r="C82" s="12">
        <v>21.599999999999998</v>
      </c>
      <c r="D82" s="12">
        <v>1.65</v>
      </c>
      <c r="E82" s="17"/>
      <c r="H82" s="12"/>
      <c r="I82" s="10"/>
    </row>
    <row r="83" spans="1:9" x14ac:dyDescent="0.2">
      <c r="A83" s="10">
        <v>15447</v>
      </c>
      <c r="B83" s="11">
        <v>42020</v>
      </c>
      <c r="C83" s="12">
        <v>37.89</v>
      </c>
      <c r="D83" s="12">
        <v>2.89</v>
      </c>
      <c r="E83" s="17"/>
      <c r="F83" s="18"/>
      <c r="G83" s="19"/>
      <c r="H83" s="12"/>
      <c r="I83" s="10"/>
    </row>
    <row r="84" spans="1:9" x14ac:dyDescent="0.2">
      <c r="A84" s="10">
        <v>15448</v>
      </c>
      <c r="B84" s="11">
        <v>42020</v>
      </c>
      <c r="C84" s="12">
        <v>437.33</v>
      </c>
      <c r="D84" s="12">
        <v>33.33</v>
      </c>
      <c r="E84" s="13" t="s">
        <v>241</v>
      </c>
      <c r="H84" s="12"/>
      <c r="I84" s="10"/>
    </row>
    <row r="85" spans="1:9" x14ac:dyDescent="0.2">
      <c r="A85" s="10">
        <v>15449</v>
      </c>
      <c r="B85" s="11">
        <v>42020</v>
      </c>
      <c r="C85" s="12">
        <v>43.3</v>
      </c>
      <c r="D85" s="12">
        <v>3.3000000000000003</v>
      </c>
      <c r="E85" s="13" t="s">
        <v>242</v>
      </c>
      <c r="H85" s="12"/>
      <c r="I85" s="10"/>
    </row>
    <row r="86" spans="1:9" x14ac:dyDescent="0.2">
      <c r="A86" s="10">
        <v>15450</v>
      </c>
      <c r="B86" s="11">
        <v>42020</v>
      </c>
      <c r="C86" s="12">
        <v>326.92</v>
      </c>
      <c r="D86" s="12">
        <v>24.92</v>
      </c>
      <c r="E86" s="15" t="s">
        <v>7</v>
      </c>
      <c r="H86" s="10"/>
      <c r="I86" s="10"/>
    </row>
    <row r="87" spans="1:9" x14ac:dyDescent="0.2">
      <c r="A87" s="10">
        <v>15451</v>
      </c>
      <c r="B87" s="11">
        <v>42020</v>
      </c>
      <c r="C87" s="12">
        <v>18.39</v>
      </c>
      <c r="D87" s="12"/>
      <c r="E87" s="13" t="s">
        <v>243</v>
      </c>
      <c r="H87" s="12"/>
      <c r="I87" s="10"/>
    </row>
    <row r="88" spans="1:9" x14ac:dyDescent="0.2">
      <c r="A88" s="10">
        <v>15452</v>
      </c>
      <c r="B88" s="11">
        <v>42020</v>
      </c>
      <c r="C88" s="12">
        <v>27.06</v>
      </c>
      <c r="D88" s="12">
        <v>2.06</v>
      </c>
      <c r="E88" s="15" t="s">
        <v>7</v>
      </c>
      <c r="F88" s="33">
        <f>+C80+C81+248.98+C88+43.76</f>
        <v>406.34999999999997</v>
      </c>
      <c r="G88" s="34">
        <v>400.73</v>
      </c>
      <c r="H88" s="10"/>
      <c r="I88" s="10"/>
    </row>
    <row r="89" spans="1:9" x14ac:dyDescent="0.2">
      <c r="A89" s="10">
        <v>15453</v>
      </c>
      <c r="B89" s="11">
        <v>42021</v>
      </c>
      <c r="C89" s="12">
        <v>108.25</v>
      </c>
      <c r="D89" s="12">
        <v>8.25</v>
      </c>
      <c r="E89" s="17"/>
      <c r="H89" s="12"/>
      <c r="I89" s="10"/>
    </row>
    <row r="90" spans="1:9" x14ac:dyDescent="0.2">
      <c r="A90" s="10">
        <v>15454</v>
      </c>
      <c r="B90" s="11">
        <v>42021</v>
      </c>
      <c r="C90" s="12">
        <v>7.58</v>
      </c>
      <c r="D90" s="12">
        <v>0.57999999999999996</v>
      </c>
      <c r="E90" s="17"/>
      <c r="H90" s="12"/>
      <c r="I90" s="10"/>
    </row>
    <row r="91" spans="1:9" x14ac:dyDescent="0.2">
      <c r="A91" s="10">
        <v>15455</v>
      </c>
      <c r="B91" s="11">
        <v>42021</v>
      </c>
      <c r="C91" s="12">
        <v>244.00000000000003</v>
      </c>
      <c r="D91" s="12">
        <v>18.600000000000001</v>
      </c>
      <c r="E91" s="17"/>
      <c r="F91" s="18"/>
      <c r="G91" s="19"/>
      <c r="H91" s="12"/>
      <c r="I91" s="10"/>
    </row>
    <row r="92" spans="1:9" x14ac:dyDescent="0.2">
      <c r="A92" s="10">
        <v>15456</v>
      </c>
      <c r="B92" s="11">
        <v>42021</v>
      </c>
      <c r="C92" s="12">
        <v>23.82</v>
      </c>
      <c r="D92" s="12">
        <v>1.82</v>
      </c>
      <c r="E92" s="17"/>
      <c r="H92" s="12"/>
      <c r="I92" s="10"/>
    </row>
    <row r="93" spans="1:9" x14ac:dyDescent="0.2">
      <c r="A93" s="10">
        <v>15457</v>
      </c>
      <c r="B93" s="11">
        <v>42021</v>
      </c>
      <c r="C93" s="12">
        <v>120</v>
      </c>
      <c r="D93" s="12">
        <v>9.15</v>
      </c>
      <c r="E93" s="13" t="s">
        <v>244</v>
      </c>
      <c r="H93" s="12"/>
      <c r="I93" s="10"/>
    </row>
    <row r="94" spans="1:9" x14ac:dyDescent="0.2">
      <c r="A94" s="10">
        <v>15458</v>
      </c>
      <c r="B94" s="11">
        <v>42021</v>
      </c>
      <c r="C94" s="12">
        <v>228.41</v>
      </c>
      <c r="D94" s="12">
        <v>17.41</v>
      </c>
      <c r="E94" s="15" t="s">
        <v>11</v>
      </c>
      <c r="H94" s="10"/>
      <c r="I94" s="10"/>
    </row>
    <row r="95" spans="1:9" x14ac:dyDescent="0.2">
      <c r="A95" s="10">
        <v>15459</v>
      </c>
      <c r="B95" s="11">
        <v>42021</v>
      </c>
      <c r="C95" s="12">
        <v>12.99</v>
      </c>
      <c r="D95" s="12">
        <v>0.99</v>
      </c>
      <c r="E95" s="17"/>
      <c r="H95" s="12"/>
      <c r="I95" s="10"/>
    </row>
    <row r="96" spans="1:9" x14ac:dyDescent="0.2">
      <c r="A96" s="10">
        <v>15460</v>
      </c>
      <c r="B96" s="11">
        <v>42021</v>
      </c>
      <c r="C96" s="12">
        <v>10.83</v>
      </c>
      <c r="D96" s="12">
        <v>0.83</v>
      </c>
      <c r="E96" s="15" t="s">
        <v>7</v>
      </c>
      <c r="H96" s="10"/>
      <c r="I96" s="10"/>
    </row>
    <row r="97" spans="1:9" x14ac:dyDescent="0.2">
      <c r="A97" s="10">
        <v>15461</v>
      </c>
      <c r="B97" s="11">
        <v>42022</v>
      </c>
      <c r="C97" s="12">
        <v>416</v>
      </c>
      <c r="D97" s="12"/>
      <c r="E97" s="15" t="s">
        <v>229</v>
      </c>
      <c r="F97" s="33">
        <f>10+C94+C96+200</f>
        <v>449.24</v>
      </c>
      <c r="G97" s="34">
        <v>446.43</v>
      </c>
      <c r="H97" s="10"/>
      <c r="I97" s="10"/>
    </row>
    <row r="98" spans="1:9" x14ac:dyDescent="0.2">
      <c r="A98" s="10">
        <v>15462</v>
      </c>
      <c r="B98" s="11">
        <v>42023</v>
      </c>
      <c r="C98" s="12">
        <v>315.55</v>
      </c>
      <c r="D98" s="12">
        <v>24.05</v>
      </c>
      <c r="E98" s="15" t="s">
        <v>21</v>
      </c>
      <c r="F98" s="21"/>
      <c r="G98" s="22"/>
      <c r="H98" s="10"/>
      <c r="I98" s="10"/>
    </row>
    <row r="99" spans="1:9" x14ac:dyDescent="0.2">
      <c r="A99" s="10">
        <v>15463</v>
      </c>
      <c r="B99" s="11">
        <v>42023</v>
      </c>
      <c r="C99" s="12">
        <v>278.74</v>
      </c>
      <c r="D99" s="12">
        <v>21.24</v>
      </c>
      <c r="E99" s="15" t="s">
        <v>21</v>
      </c>
      <c r="H99" s="10"/>
      <c r="I99" s="10"/>
    </row>
    <row r="100" spans="1:9" x14ac:dyDescent="0.2">
      <c r="A100" s="10">
        <v>15464</v>
      </c>
      <c r="B100" s="11">
        <v>42023</v>
      </c>
      <c r="C100" s="12">
        <v>363.72</v>
      </c>
      <c r="D100" s="12">
        <v>27.72</v>
      </c>
      <c r="E100" s="15" t="s">
        <v>11</v>
      </c>
      <c r="F100" s="21"/>
      <c r="G100" s="22"/>
      <c r="H100" s="10"/>
      <c r="I100" s="10"/>
    </row>
    <row r="101" spans="1:9" x14ac:dyDescent="0.2">
      <c r="A101" s="10">
        <v>15465</v>
      </c>
      <c r="B101" s="11">
        <v>42023</v>
      </c>
      <c r="C101" s="12">
        <v>375.36</v>
      </c>
      <c r="D101" s="12">
        <v>28.61</v>
      </c>
      <c r="E101" s="13" t="s">
        <v>245</v>
      </c>
      <c r="H101" s="12"/>
      <c r="I101" s="10"/>
    </row>
    <row r="102" spans="1:9" x14ac:dyDescent="0.2">
      <c r="A102" s="10">
        <v>15466</v>
      </c>
      <c r="B102" s="11">
        <v>42023</v>
      </c>
      <c r="C102" s="12">
        <v>80</v>
      </c>
      <c r="D102" s="12"/>
      <c r="E102" s="15" t="s">
        <v>229</v>
      </c>
      <c r="F102" s="21"/>
      <c r="G102" s="22"/>
      <c r="H102" s="10"/>
      <c r="I102" s="10"/>
    </row>
    <row r="103" spans="1:9" x14ac:dyDescent="0.2">
      <c r="A103" s="10">
        <v>15467</v>
      </c>
      <c r="B103" s="11">
        <v>42023</v>
      </c>
      <c r="C103" s="12">
        <v>208</v>
      </c>
      <c r="D103" s="12"/>
      <c r="E103" s="15" t="s">
        <v>229</v>
      </c>
      <c r="H103" s="10"/>
      <c r="I103" s="10"/>
    </row>
    <row r="104" spans="1:9" x14ac:dyDescent="0.2">
      <c r="A104" s="10">
        <v>15468</v>
      </c>
      <c r="B104" s="11">
        <v>42023</v>
      </c>
      <c r="C104" s="12">
        <v>437.9</v>
      </c>
      <c r="D104" s="12">
        <v>33.380000000000003</v>
      </c>
      <c r="E104" s="15"/>
      <c r="H104" s="10"/>
      <c r="I104" s="10"/>
    </row>
    <row r="105" spans="1:9" x14ac:dyDescent="0.2">
      <c r="A105" s="10">
        <v>15469</v>
      </c>
      <c r="B105" s="11">
        <v>42023</v>
      </c>
      <c r="C105" s="12">
        <v>7.58</v>
      </c>
      <c r="D105" s="12">
        <v>0.57999999999999996</v>
      </c>
      <c r="E105" s="15" t="s">
        <v>11</v>
      </c>
      <c r="F105" s="33">
        <f>+C100+C105</f>
        <v>371.3</v>
      </c>
      <c r="G105" s="34">
        <v>363.76</v>
      </c>
      <c r="H105" s="10"/>
      <c r="I105" s="10"/>
    </row>
    <row r="106" spans="1:9" x14ac:dyDescent="0.2">
      <c r="A106" s="10">
        <v>15470</v>
      </c>
      <c r="B106" s="11">
        <v>42024</v>
      </c>
      <c r="C106" s="12">
        <v>113.24999999999999</v>
      </c>
      <c r="D106" s="12">
        <v>8.6300000000000008</v>
      </c>
      <c r="E106" s="15" t="s">
        <v>11</v>
      </c>
      <c r="H106" s="10"/>
      <c r="I106" s="10"/>
    </row>
    <row r="107" spans="1:9" x14ac:dyDescent="0.2">
      <c r="A107" s="10">
        <v>15471</v>
      </c>
      <c r="B107" s="11">
        <v>42024</v>
      </c>
      <c r="C107" s="12">
        <v>78.48</v>
      </c>
      <c r="D107" s="12">
        <v>5.98</v>
      </c>
      <c r="E107" s="15" t="s">
        <v>11</v>
      </c>
      <c r="H107" s="10"/>
      <c r="I107" s="10"/>
    </row>
    <row r="108" spans="1:9" x14ac:dyDescent="0.2">
      <c r="A108" s="10">
        <v>15472</v>
      </c>
      <c r="B108" s="11">
        <v>42024</v>
      </c>
      <c r="C108" s="12">
        <v>231.11</v>
      </c>
      <c r="D108" s="12">
        <v>17.61</v>
      </c>
      <c r="E108" s="15" t="s">
        <v>246</v>
      </c>
      <c r="H108" s="10"/>
      <c r="I108" s="10"/>
    </row>
    <row r="109" spans="1:9" x14ac:dyDescent="0.2">
      <c r="A109" s="10">
        <v>15473</v>
      </c>
      <c r="B109" s="11">
        <v>42024</v>
      </c>
      <c r="C109" s="12">
        <v>18.997875000000001</v>
      </c>
      <c r="D109" s="12">
        <v>1.447875</v>
      </c>
      <c r="E109" s="17"/>
      <c r="H109" s="12"/>
      <c r="I109" s="10"/>
    </row>
    <row r="110" spans="1:9" x14ac:dyDescent="0.2">
      <c r="A110" s="10">
        <v>15474</v>
      </c>
      <c r="B110" s="11">
        <v>42024</v>
      </c>
      <c r="C110" s="12">
        <v>291.92999999999995</v>
      </c>
      <c r="D110" s="12">
        <v>21.03</v>
      </c>
      <c r="E110" s="15" t="s">
        <v>247</v>
      </c>
      <c r="H110" s="10"/>
      <c r="I110" s="10"/>
    </row>
    <row r="111" spans="1:9" x14ac:dyDescent="0.2">
      <c r="A111" s="10">
        <v>15475</v>
      </c>
      <c r="B111" s="11">
        <v>42024</v>
      </c>
      <c r="C111" s="12">
        <v>212.17000000000002</v>
      </c>
      <c r="D111" s="12">
        <v>16.170000000000002</v>
      </c>
      <c r="E111" s="15" t="s">
        <v>11</v>
      </c>
      <c r="H111" s="10"/>
      <c r="I111" s="10"/>
    </row>
    <row r="112" spans="1:9" x14ac:dyDescent="0.2">
      <c r="A112" s="10">
        <v>15476</v>
      </c>
      <c r="B112" s="11">
        <v>42024</v>
      </c>
      <c r="C112" s="12">
        <v>109.33</v>
      </c>
      <c r="D112" s="12">
        <v>8.33</v>
      </c>
      <c r="E112" s="15"/>
      <c r="H112" s="10"/>
      <c r="I112" s="10"/>
    </row>
    <row r="113" spans="1:9" x14ac:dyDescent="0.2">
      <c r="A113" s="10">
        <v>15477</v>
      </c>
      <c r="B113" s="11">
        <v>42024</v>
      </c>
      <c r="C113" s="12">
        <v>20</v>
      </c>
      <c r="D113" s="12"/>
      <c r="E113" s="13" t="s">
        <v>8</v>
      </c>
      <c r="H113" s="12"/>
      <c r="I113" s="10"/>
    </row>
    <row r="114" spans="1:9" x14ac:dyDescent="0.2">
      <c r="A114" s="10">
        <v>15478</v>
      </c>
      <c r="B114" s="11">
        <v>42024</v>
      </c>
      <c r="C114" s="12">
        <v>240</v>
      </c>
      <c r="D114" s="12"/>
      <c r="E114" s="15" t="s">
        <v>7</v>
      </c>
      <c r="H114" s="10"/>
      <c r="I114" s="10"/>
    </row>
    <row r="115" spans="1:9" x14ac:dyDescent="0.2">
      <c r="A115" s="10">
        <v>15479</v>
      </c>
      <c r="B115" s="11">
        <v>42024</v>
      </c>
      <c r="C115" s="12">
        <v>23.82</v>
      </c>
      <c r="D115" s="12">
        <v>1.82</v>
      </c>
      <c r="E115" s="15" t="s">
        <v>11</v>
      </c>
      <c r="F115" s="33">
        <f>315.55+125+C111+C107+C106+91.93+C114+C115</f>
        <v>1200.2</v>
      </c>
      <c r="G115" s="34">
        <v>1182.3599999999999</v>
      </c>
      <c r="H115" s="10"/>
      <c r="I115" s="10"/>
    </row>
    <row r="116" spans="1:9" x14ac:dyDescent="0.2">
      <c r="A116" s="10">
        <v>15480</v>
      </c>
      <c r="B116" s="11">
        <v>42025</v>
      </c>
      <c r="C116" s="18">
        <v>172.12</v>
      </c>
      <c r="D116" s="12">
        <v>13.12</v>
      </c>
      <c r="E116" s="15" t="s">
        <v>11</v>
      </c>
      <c r="H116" s="10"/>
      <c r="I116" s="10"/>
    </row>
    <row r="117" spans="1:9" x14ac:dyDescent="0.2">
      <c r="A117" s="10">
        <v>15481</v>
      </c>
      <c r="B117" s="11">
        <v>42025</v>
      </c>
      <c r="C117" s="18">
        <v>305</v>
      </c>
      <c r="D117" s="12">
        <v>22.77</v>
      </c>
      <c r="E117" s="15" t="s">
        <v>11</v>
      </c>
      <c r="H117" s="10"/>
      <c r="I117" s="10"/>
    </row>
    <row r="118" spans="1:9" x14ac:dyDescent="0.2">
      <c r="A118" s="10">
        <v>15482</v>
      </c>
      <c r="B118" s="11">
        <v>42025</v>
      </c>
      <c r="C118" s="18">
        <v>64.95</v>
      </c>
      <c r="D118" s="12">
        <v>4.95</v>
      </c>
      <c r="E118" s="15" t="s">
        <v>11</v>
      </c>
      <c r="F118" s="21"/>
      <c r="G118" s="22"/>
      <c r="H118" s="10"/>
      <c r="I118" s="10"/>
    </row>
    <row r="119" spans="1:9" x14ac:dyDescent="0.2">
      <c r="A119" s="10">
        <v>15483</v>
      </c>
      <c r="B119" s="11">
        <v>42025</v>
      </c>
      <c r="C119" s="18">
        <v>92.000000000000014</v>
      </c>
      <c r="D119" s="12">
        <v>7.01</v>
      </c>
      <c r="E119" s="15" t="s">
        <v>11</v>
      </c>
      <c r="H119" s="10"/>
      <c r="I119" s="10"/>
    </row>
    <row r="120" spans="1:9" x14ac:dyDescent="0.2">
      <c r="A120" s="10">
        <v>15484</v>
      </c>
      <c r="B120" s="11">
        <v>42025</v>
      </c>
      <c r="C120" s="18">
        <v>59</v>
      </c>
      <c r="D120" s="12">
        <v>4.5</v>
      </c>
      <c r="E120" s="17"/>
      <c r="F120" s="18"/>
      <c r="G120" s="19"/>
      <c r="H120" s="12"/>
      <c r="I120" s="10"/>
    </row>
    <row r="121" spans="1:9" x14ac:dyDescent="0.2">
      <c r="A121" s="10">
        <v>15485</v>
      </c>
      <c r="B121" s="11">
        <v>42025</v>
      </c>
      <c r="C121" s="18">
        <v>331</v>
      </c>
      <c r="D121" s="12">
        <v>25.23</v>
      </c>
      <c r="E121" s="15"/>
      <c r="H121" s="10"/>
      <c r="I121" s="10"/>
    </row>
    <row r="122" spans="1:9" x14ac:dyDescent="0.2">
      <c r="A122" s="10">
        <v>15486</v>
      </c>
      <c r="B122" s="11">
        <v>42025</v>
      </c>
      <c r="C122" s="18">
        <v>19</v>
      </c>
      <c r="D122" s="12">
        <v>1.45</v>
      </c>
      <c r="E122" s="17"/>
      <c r="H122" s="12"/>
      <c r="I122" s="10"/>
    </row>
    <row r="123" spans="1:9" x14ac:dyDescent="0.2">
      <c r="A123" s="10">
        <v>15487</v>
      </c>
      <c r="B123" s="11">
        <v>42025</v>
      </c>
      <c r="C123" s="18">
        <v>23.82</v>
      </c>
      <c r="D123" s="12">
        <v>1.82</v>
      </c>
      <c r="E123" s="15" t="s">
        <v>11</v>
      </c>
      <c r="F123" s="33">
        <f>+C116+C117+C119+C123</f>
        <v>592.94000000000005</v>
      </c>
      <c r="G123" s="34">
        <v>585.84</v>
      </c>
      <c r="H123" s="114"/>
      <c r="I123" s="10"/>
    </row>
    <row r="124" spans="1:9" x14ac:dyDescent="0.2">
      <c r="A124" s="10">
        <v>15488</v>
      </c>
      <c r="B124" s="11">
        <v>42026</v>
      </c>
      <c r="C124" s="18">
        <v>83.35</v>
      </c>
      <c r="D124" s="12">
        <v>6.35</v>
      </c>
      <c r="E124" s="15" t="s">
        <v>11</v>
      </c>
      <c r="H124" s="10"/>
      <c r="I124" s="10"/>
    </row>
    <row r="125" spans="1:9" x14ac:dyDescent="0.2">
      <c r="A125" s="10">
        <v>15489</v>
      </c>
      <c r="B125" s="11">
        <v>42026</v>
      </c>
      <c r="C125" s="18">
        <v>42.22</v>
      </c>
      <c r="D125" s="12">
        <v>3.22</v>
      </c>
      <c r="E125" s="17"/>
      <c r="H125" s="12"/>
      <c r="I125" s="10"/>
    </row>
    <row r="126" spans="1:9" x14ac:dyDescent="0.2">
      <c r="A126" s="10">
        <v>15490</v>
      </c>
      <c r="B126" s="11">
        <v>42026</v>
      </c>
      <c r="C126" s="18">
        <v>51.96</v>
      </c>
      <c r="D126" s="12">
        <v>3.96</v>
      </c>
      <c r="E126" s="15" t="s">
        <v>7</v>
      </c>
      <c r="H126" s="10"/>
      <c r="I126" s="10"/>
    </row>
    <row r="127" spans="1:9" x14ac:dyDescent="0.2">
      <c r="A127" s="10">
        <v>15491</v>
      </c>
      <c r="B127" s="11">
        <v>42026</v>
      </c>
      <c r="C127" s="18">
        <v>10.77</v>
      </c>
      <c r="D127" s="12">
        <v>0.82</v>
      </c>
      <c r="E127" s="15" t="s">
        <v>11</v>
      </c>
      <c r="H127" s="10"/>
      <c r="I127" s="10"/>
    </row>
    <row r="128" spans="1:9" x14ac:dyDescent="0.2">
      <c r="A128" s="10">
        <v>15492</v>
      </c>
      <c r="B128" s="11">
        <v>42026</v>
      </c>
      <c r="C128" s="18">
        <v>503.36</v>
      </c>
      <c r="D128" s="12">
        <v>38.36</v>
      </c>
      <c r="E128" s="15" t="s">
        <v>7</v>
      </c>
      <c r="H128" s="10"/>
      <c r="I128" s="10"/>
    </row>
    <row r="129" spans="1:9" x14ac:dyDescent="0.2">
      <c r="A129" s="10">
        <v>15493</v>
      </c>
      <c r="B129" s="11">
        <v>42026</v>
      </c>
      <c r="C129" s="18">
        <v>158.16</v>
      </c>
      <c r="D129" s="12">
        <v>50.16</v>
      </c>
      <c r="E129" s="15" t="s">
        <v>7</v>
      </c>
      <c r="H129" s="10"/>
      <c r="I129" s="10"/>
    </row>
    <row r="130" spans="1:9" x14ac:dyDescent="0.2">
      <c r="A130" s="10">
        <v>15494</v>
      </c>
      <c r="B130" s="11">
        <v>42026</v>
      </c>
      <c r="C130" s="18">
        <v>200.26</v>
      </c>
      <c r="D130" s="12">
        <v>15.26</v>
      </c>
      <c r="E130" s="15" t="s">
        <v>21</v>
      </c>
      <c r="H130" s="10"/>
      <c r="I130" s="10"/>
    </row>
    <row r="131" spans="1:9" x14ac:dyDescent="0.2">
      <c r="A131" s="10">
        <v>15495</v>
      </c>
      <c r="B131" s="11">
        <v>42026</v>
      </c>
      <c r="C131" s="18">
        <v>92.01</v>
      </c>
      <c r="D131" s="12">
        <v>7.01</v>
      </c>
      <c r="E131" s="15" t="s">
        <v>11</v>
      </c>
      <c r="H131" s="10"/>
      <c r="I131" s="10"/>
    </row>
    <row r="132" spans="1:9" x14ac:dyDescent="0.2">
      <c r="A132" s="10">
        <v>15496</v>
      </c>
      <c r="B132" s="11">
        <v>42026</v>
      </c>
      <c r="C132" s="18">
        <v>51.42</v>
      </c>
      <c r="D132" s="12">
        <v>3.92</v>
      </c>
      <c r="E132" s="17"/>
      <c r="H132" s="12"/>
      <c r="I132" s="10"/>
    </row>
    <row r="133" spans="1:9" x14ac:dyDescent="0.2">
      <c r="A133" s="10">
        <v>15497</v>
      </c>
      <c r="B133" s="11">
        <v>42026</v>
      </c>
      <c r="C133" s="18">
        <v>76.09</v>
      </c>
      <c r="D133" s="12"/>
      <c r="E133" s="15" t="s">
        <v>33</v>
      </c>
      <c r="H133" s="10"/>
      <c r="I133" s="10"/>
    </row>
    <row r="134" spans="1:9" x14ac:dyDescent="0.2">
      <c r="A134" s="10">
        <v>15498</v>
      </c>
      <c r="B134" s="11">
        <v>42026</v>
      </c>
      <c r="C134" s="18">
        <v>423.90999999999997</v>
      </c>
      <c r="D134" s="12"/>
      <c r="E134" s="15" t="s">
        <v>33</v>
      </c>
      <c r="F134" s="21"/>
      <c r="G134" s="22"/>
      <c r="H134" s="10"/>
      <c r="I134" s="10"/>
    </row>
    <row r="135" spans="1:9" x14ac:dyDescent="0.2">
      <c r="A135" s="10">
        <v>15499</v>
      </c>
      <c r="B135" s="11">
        <v>42026</v>
      </c>
      <c r="C135" s="18">
        <v>117</v>
      </c>
      <c r="D135" s="12"/>
      <c r="E135" s="15" t="s">
        <v>229</v>
      </c>
      <c r="F135" s="33">
        <f>+C118+C124+335+129.9+C127+C129+C131+500</f>
        <v>1374.1399999999999</v>
      </c>
      <c r="G135" s="34">
        <v>1350.07</v>
      </c>
      <c r="H135" s="10"/>
      <c r="I135" s="10"/>
    </row>
    <row r="136" spans="1:9" x14ac:dyDescent="0.2">
      <c r="A136" s="10">
        <v>15500</v>
      </c>
      <c r="B136" s="11">
        <v>42027</v>
      </c>
      <c r="C136" s="18">
        <v>4.87</v>
      </c>
      <c r="D136" s="12">
        <v>0.37</v>
      </c>
      <c r="E136" s="17"/>
      <c r="H136" s="12"/>
      <c r="I136" s="10"/>
    </row>
    <row r="137" spans="1:9" x14ac:dyDescent="0.2">
      <c r="A137" s="10">
        <v>15501</v>
      </c>
      <c r="B137" s="11">
        <v>42027</v>
      </c>
      <c r="C137" s="18">
        <v>29.340000000000003</v>
      </c>
      <c r="D137" s="12">
        <v>2.2400000000000002</v>
      </c>
      <c r="E137" s="17"/>
      <c r="H137" s="12"/>
      <c r="I137" s="10"/>
    </row>
    <row r="138" spans="1:9" x14ac:dyDescent="0.2">
      <c r="A138" s="10">
        <v>15502</v>
      </c>
      <c r="B138" s="11">
        <v>42027</v>
      </c>
      <c r="C138" s="18">
        <v>217.41999999999996</v>
      </c>
      <c r="D138" s="12">
        <v>16.57</v>
      </c>
      <c r="E138" s="15" t="s">
        <v>21</v>
      </c>
      <c r="H138" s="10"/>
      <c r="I138" s="10"/>
    </row>
    <row r="139" spans="1:9" x14ac:dyDescent="0.2">
      <c r="A139" s="10">
        <v>15503</v>
      </c>
      <c r="B139" s="11">
        <v>42027</v>
      </c>
      <c r="C139" s="18">
        <v>111.99544999999999</v>
      </c>
      <c r="D139" s="12">
        <v>8.5354499999999991</v>
      </c>
      <c r="E139" s="17"/>
      <c r="H139" s="12"/>
      <c r="I139" s="10"/>
    </row>
    <row r="140" spans="1:9" x14ac:dyDescent="0.2">
      <c r="A140" s="10">
        <v>15504</v>
      </c>
      <c r="B140" s="11">
        <v>42027</v>
      </c>
      <c r="C140" s="18">
        <v>100.00000000000001</v>
      </c>
      <c r="D140" s="12">
        <v>7.62</v>
      </c>
      <c r="E140" s="17"/>
      <c r="F140" s="33">
        <v>0</v>
      </c>
      <c r="G140" s="34">
        <f>+F140*0.97831</f>
        <v>0</v>
      </c>
      <c r="H140" s="12"/>
      <c r="I140" s="10"/>
    </row>
    <row r="141" spans="1:9" x14ac:dyDescent="0.2">
      <c r="A141" s="10">
        <v>15505</v>
      </c>
      <c r="B141" s="11">
        <v>42028</v>
      </c>
      <c r="C141" s="18">
        <v>17</v>
      </c>
      <c r="D141" s="12"/>
      <c r="E141" s="17"/>
      <c r="H141" s="12"/>
      <c r="I141" s="10"/>
    </row>
    <row r="142" spans="1:9" x14ac:dyDescent="0.2">
      <c r="A142" s="10">
        <v>15506</v>
      </c>
      <c r="B142" s="11">
        <v>42028</v>
      </c>
      <c r="C142" s="18">
        <v>211.09</v>
      </c>
      <c r="D142" s="12">
        <v>16.09</v>
      </c>
      <c r="E142" s="15" t="s">
        <v>133</v>
      </c>
      <c r="H142" s="10"/>
      <c r="I142" s="10"/>
    </row>
    <row r="143" spans="1:9" x14ac:dyDescent="0.2">
      <c r="A143" s="10">
        <v>15507</v>
      </c>
      <c r="B143" s="11">
        <v>42028</v>
      </c>
      <c r="C143" s="18">
        <v>175</v>
      </c>
      <c r="D143" s="12"/>
      <c r="E143" s="13" t="s">
        <v>8</v>
      </c>
      <c r="H143" s="12"/>
      <c r="I143" s="10"/>
    </row>
    <row r="144" spans="1:9" x14ac:dyDescent="0.2">
      <c r="A144" s="10">
        <v>15508</v>
      </c>
      <c r="B144" s="11">
        <v>42028</v>
      </c>
      <c r="C144" s="18">
        <v>73.930000000000007</v>
      </c>
      <c r="D144" s="12">
        <v>5.63</v>
      </c>
      <c r="E144" s="15" t="s">
        <v>11</v>
      </c>
      <c r="H144" s="10"/>
      <c r="I144" s="10"/>
    </row>
    <row r="145" spans="1:9" x14ac:dyDescent="0.2">
      <c r="A145" s="10">
        <v>15509</v>
      </c>
      <c r="B145" s="11">
        <v>42028</v>
      </c>
      <c r="C145" s="18">
        <v>22</v>
      </c>
      <c r="D145" s="12">
        <v>1.67</v>
      </c>
      <c r="E145" s="17"/>
      <c r="F145" s="18"/>
      <c r="G145" s="19"/>
      <c r="H145" s="12"/>
      <c r="I145" s="10"/>
    </row>
    <row r="146" spans="1:9" x14ac:dyDescent="0.2">
      <c r="A146" s="10">
        <v>15510</v>
      </c>
      <c r="B146" s="11">
        <v>42028</v>
      </c>
      <c r="C146" s="18">
        <v>25.98</v>
      </c>
      <c r="D146" s="12">
        <v>1.98</v>
      </c>
      <c r="E146" s="15" t="s">
        <v>11</v>
      </c>
      <c r="H146" s="10"/>
      <c r="I146" s="10"/>
    </row>
    <row r="147" spans="1:9" x14ac:dyDescent="0.2">
      <c r="A147" s="10">
        <v>15511</v>
      </c>
      <c r="B147" s="11">
        <v>42028</v>
      </c>
      <c r="C147" s="18">
        <v>27.06</v>
      </c>
      <c r="D147" s="12">
        <v>2.06</v>
      </c>
      <c r="E147" s="17"/>
      <c r="H147" s="12"/>
      <c r="I147" s="10"/>
    </row>
    <row r="148" spans="1:9" x14ac:dyDescent="0.2">
      <c r="A148" s="10">
        <v>15512</v>
      </c>
      <c r="B148" s="11">
        <v>42028</v>
      </c>
      <c r="C148" s="18">
        <v>192.89999999999998</v>
      </c>
      <c r="D148" s="12">
        <v>14.7</v>
      </c>
      <c r="E148" s="15" t="s">
        <v>7</v>
      </c>
      <c r="F148" s="33">
        <f>+C144+C146+C148</f>
        <v>292.81</v>
      </c>
      <c r="G148" s="34">
        <v>289</v>
      </c>
      <c r="H148" s="10"/>
      <c r="I148" s="10"/>
    </row>
    <row r="149" spans="1:9" x14ac:dyDescent="0.2">
      <c r="A149" s="10">
        <v>15513</v>
      </c>
      <c r="B149" s="11">
        <v>42030</v>
      </c>
      <c r="C149" s="18">
        <v>70.36</v>
      </c>
      <c r="D149" s="12">
        <v>5.36</v>
      </c>
      <c r="E149" s="15" t="s">
        <v>11</v>
      </c>
      <c r="F149" s="21"/>
      <c r="G149" s="22"/>
      <c r="H149" s="10"/>
      <c r="I149" s="10"/>
    </row>
    <row r="150" spans="1:9" x14ac:dyDescent="0.2">
      <c r="A150" s="10">
        <v>15514</v>
      </c>
      <c r="B150" s="11">
        <v>42030</v>
      </c>
      <c r="C150" s="18">
        <v>238</v>
      </c>
      <c r="D150" s="12">
        <v>18.14</v>
      </c>
      <c r="E150" s="17"/>
      <c r="H150" s="12"/>
      <c r="I150" s="10"/>
    </row>
    <row r="151" spans="1:9" x14ac:dyDescent="0.2">
      <c r="A151" s="10">
        <v>15515</v>
      </c>
      <c r="B151" s="11">
        <v>42030</v>
      </c>
      <c r="C151" s="18">
        <v>150</v>
      </c>
      <c r="D151" s="12">
        <v>11.43</v>
      </c>
      <c r="E151" s="17"/>
      <c r="H151" s="12"/>
      <c r="I151" s="10"/>
    </row>
    <row r="152" spans="1:9" x14ac:dyDescent="0.2">
      <c r="A152" s="10">
        <v>15516</v>
      </c>
      <c r="B152" s="11">
        <v>42030</v>
      </c>
      <c r="C152" s="18">
        <v>20.0046</v>
      </c>
      <c r="D152" s="12">
        <v>1.5246000000000002</v>
      </c>
      <c r="E152" s="17"/>
      <c r="H152" s="12"/>
      <c r="I152" s="10"/>
    </row>
    <row r="153" spans="1:9" x14ac:dyDescent="0.2">
      <c r="A153" s="10">
        <v>15517</v>
      </c>
      <c r="B153" s="11">
        <v>42030</v>
      </c>
      <c r="C153" s="18">
        <v>46.49</v>
      </c>
      <c r="D153" s="12">
        <v>3.54</v>
      </c>
      <c r="E153" s="15" t="s">
        <v>11</v>
      </c>
      <c r="F153" s="21"/>
      <c r="G153" s="22"/>
      <c r="H153" s="10"/>
      <c r="I153" s="10"/>
    </row>
    <row r="154" spans="1:9" x14ac:dyDescent="0.2">
      <c r="A154" s="10">
        <v>15518</v>
      </c>
      <c r="B154" s="11">
        <v>42030</v>
      </c>
      <c r="C154" s="18">
        <v>12.99</v>
      </c>
      <c r="D154" s="12">
        <v>0.99</v>
      </c>
      <c r="E154" s="15" t="s">
        <v>11</v>
      </c>
      <c r="F154" s="21"/>
      <c r="G154" s="22"/>
      <c r="H154" s="10"/>
      <c r="I154" s="10"/>
    </row>
    <row r="155" spans="1:9" x14ac:dyDescent="0.2">
      <c r="A155" s="10">
        <v>15519</v>
      </c>
      <c r="B155" s="11">
        <v>42030</v>
      </c>
      <c r="C155" s="18">
        <v>20.57</v>
      </c>
      <c r="D155" s="12">
        <v>1.57</v>
      </c>
      <c r="E155" s="15" t="s">
        <v>11</v>
      </c>
      <c r="H155" s="10"/>
      <c r="I155" s="10"/>
    </row>
    <row r="156" spans="1:9" x14ac:dyDescent="0.2">
      <c r="A156" s="10">
        <v>15520</v>
      </c>
      <c r="B156" s="11">
        <v>42030</v>
      </c>
      <c r="C156" s="18">
        <v>80</v>
      </c>
      <c r="D156" s="12">
        <v>6.1</v>
      </c>
      <c r="E156" s="17"/>
      <c r="H156" s="12"/>
      <c r="I156" s="10"/>
    </row>
    <row r="157" spans="1:9" x14ac:dyDescent="0.2">
      <c r="A157" s="10">
        <v>15521</v>
      </c>
      <c r="B157" s="11">
        <v>42030</v>
      </c>
      <c r="C157" s="18">
        <v>469</v>
      </c>
      <c r="D157" s="12"/>
      <c r="E157" s="15" t="s">
        <v>229</v>
      </c>
      <c r="H157" s="10"/>
      <c r="I157" s="10"/>
    </row>
    <row r="158" spans="1:9" x14ac:dyDescent="0.2">
      <c r="A158" s="10">
        <v>15522</v>
      </c>
      <c r="B158" s="11">
        <v>42030</v>
      </c>
      <c r="C158" s="18">
        <v>123.41</v>
      </c>
      <c r="D158" s="12">
        <v>9.41</v>
      </c>
      <c r="E158" s="17"/>
      <c r="F158" s="33">
        <f>+C149+20+C153+C154+C155+27.42</f>
        <v>197.82999999999998</v>
      </c>
      <c r="G158" s="34">
        <v>194.43</v>
      </c>
      <c r="H158" s="12"/>
      <c r="I158" s="10"/>
    </row>
    <row r="159" spans="1:9" x14ac:dyDescent="0.2">
      <c r="A159" s="10">
        <v>15523</v>
      </c>
      <c r="B159" s="11">
        <v>42031</v>
      </c>
      <c r="C159" s="18">
        <v>36.75</v>
      </c>
      <c r="D159" s="12">
        <v>2.8</v>
      </c>
      <c r="E159" s="15" t="s">
        <v>11</v>
      </c>
      <c r="H159" s="10"/>
      <c r="I159" s="10"/>
    </row>
    <row r="160" spans="1:9" x14ac:dyDescent="0.2">
      <c r="A160" s="10">
        <v>15524</v>
      </c>
      <c r="B160" s="11">
        <v>42031</v>
      </c>
      <c r="C160" s="18">
        <v>85.52</v>
      </c>
      <c r="D160" s="12">
        <v>6.52</v>
      </c>
      <c r="E160" s="17"/>
      <c r="F160" s="18"/>
      <c r="G160" s="19"/>
      <c r="H160" s="12"/>
      <c r="I160" s="10"/>
    </row>
    <row r="161" spans="1:10" x14ac:dyDescent="0.2">
      <c r="A161" s="10">
        <v>15525</v>
      </c>
      <c r="B161" s="11">
        <v>42031</v>
      </c>
      <c r="C161" s="12">
        <v>36.1</v>
      </c>
      <c r="D161" s="12">
        <v>2.75</v>
      </c>
      <c r="E161" s="12"/>
      <c r="F161" s="14"/>
      <c r="G161" s="14"/>
      <c r="H161" s="14"/>
      <c r="I161" s="8"/>
      <c r="J161" s="8"/>
    </row>
    <row r="162" spans="1:10" x14ac:dyDescent="0.2">
      <c r="A162" s="10">
        <v>15526</v>
      </c>
      <c r="B162" s="11">
        <v>42031</v>
      </c>
      <c r="C162" s="12">
        <v>97.43</v>
      </c>
      <c r="D162" s="12">
        <v>7.43</v>
      </c>
      <c r="E162" s="15" t="s">
        <v>21</v>
      </c>
      <c r="F162" s="16"/>
      <c r="G162" s="16"/>
      <c r="H162" s="16"/>
      <c r="I162" s="16"/>
      <c r="J162" s="8"/>
    </row>
    <row r="163" spans="1:10" x14ac:dyDescent="0.2">
      <c r="A163" s="10">
        <v>15527</v>
      </c>
      <c r="B163" s="11">
        <v>42031</v>
      </c>
      <c r="C163" s="12">
        <v>418.39</v>
      </c>
      <c r="D163" s="12">
        <v>31.89</v>
      </c>
      <c r="E163" s="15" t="s">
        <v>11</v>
      </c>
      <c r="F163" s="33">
        <f>+C159+503.36+C163</f>
        <v>958.5</v>
      </c>
      <c r="G163" s="34">
        <v>941.39</v>
      </c>
      <c r="H163" s="16"/>
      <c r="I163" s="16"/>
      <c r="J163" s="8"/>
    </row>
    <row r="164" spans="1:10" x14ac:dyDescent="0.2">
      <c r="A164" s="10">
        <v>15528</v>
      </c>
      <c r="B164" s="11">
        <v>42032</v>
      </c>
      <c r="C164" s="12">
        <v>389.65</v>
      </c>
      <c r="D164" s="12">
        <v>29.7</v>
      </c>
      <c r="E164" s="17"/>
      <c r="H164" s="14"/>
      <c r="I164" s="16"/>
      <c r="J164" s="8"/>
    </row>
    <row r="165" spans="1:10" x14ac:dyDescent="0.2">
      <c r="A165" s="10">
        <v>15529</v>
      </c>
      <c r="B165" s="11">
        <v>42032</v>
      </c>
      <c r="C165" s="12">
        <v>274</v>
      </c>
      <c r="D165" s="12"/>
      <c r="E165" s="15" t="s">
        <v>229</v>
      </c>
      <c r="H165" s="16"/>
      <c r="I165" s="16"/>
      <c r="J165" s="8"/>
    </row>
    <row r="166" spans="1:10" x14ac:dyDescent="0.2">
      <c r="A166" s="10">
        <v>15530</v>
      </c>
      <c r="B166" s="11">
        <v>42032</v>
      </c>
      <c r="C166" s="12">
        <v>31.34</v>
      </c>
      <c r="D166" s="12">
        <v>2.39</v>
      </c>
      <c r="E166" s="15" t="s">
        <v>11</v>
      </c>
      <c r="H166" s="16"/>
      <c r="I166" s="16"/>
      <c r="J166" s="8"/>
    </row>
    <row r="167" spans="1:10" x14ac:dyDescent="0.2">
      <c r="A167" s="10">
        <v>15531</v>
      </c>
      <c r="B167" s="11">
        <v>42032</v>
      </c>
      <c r="C167" s="12">
        <v>82.81</v>
      </c>
      <c r="D167" s="12">
        <v>6.31</v>
      </c>
      <c r="E167" s="15"/>
      <c r="H167" s="16"/>
      <c r="I167" s="16"/>
      <c r="J167" s="8"/>
    </row>
    <row r="168" spans="1:10" x14ac:dyDescent="0.2">
      <c r="A168" s="10">
        <v>15532</v>
      </c>
      <c r="B168" s="11">
        <v>42032</v>
      </c>
      <c r="C168" s="12">
        <v>38</v>
      </c>
      <c r="D168" s="12">
        <v>2.9</v>
      </c>
      <c r="E168" s="15" t="s">
        <v>7</v>
      </c>
      <c r="H168" s="16"/>
      <c r="I168" s="16"/>
      <c r="J168" s="8"/>
    </row>
    <row r="169" spans="1:10" x14ac:dyDescent="0.2">
      <c r="A169" s="10">
        <v>15533</v>
      </c>
      <c r="B169" s="11">
        <v>42032</v>
      </c>
      <c r="C169" s="12">
        <v>401.14</v>
      </c>
      <c r="D169" s="12">
        <v>38.19</v>
      </c>
      <c r="E169" s="15" t="s">
        <v>7</v>
      </c>
      <c r="H169" s="16"/>
      <c r="I169" s="16"/>
      <c r="J169" s="8"/>
    </row>
    <row r="170" spans="1:10" x14ac:dyDescent="0.2">
      <c r="A170" s="10">
        <v>15534</v>
      </c>
      <c r="B170" s="11">
        <v>42032</v>
      </c>
      <c r="C170" s="12">
        <v>32.479999999999997</v>
      </c>
      <c r="D170" s="12">
        <v>2.48</v>
      </c>
      <c r="E170" s="17"/>
      <c r="F170" s="18"/>
      <c r="G170" s="19"/>
      <c r="H170" s="14"/>
      <c r="I170" s="16"/>
      <c r="J170" s="8"/>
    </row>
    <row r="171" spans="1:10" x14ac:dyDescent="0.2">
      <c r="A171" s="10">
        <v>15535</v>
      </c>
      <c r="B171" s="11">
        <v>42032</v>
      </c>
      <c r="C171" s="12">
        <v>11</v>
      </c>
      <c r="D171" s="12">
        <v>0.84</v>
      </c>
      <c r="E171" s="17"/>
      <c r="F171" s="33">
        <f>223.65+C166+C168+441.14</f>
        <v>734.13</v>
      </c>
      <c r="G171" s="34">
        <v>721.18</v>
      </c>
      <c r="H171" s="14"/>
      <c r="I171" s="16"/>
      <c r="J171" s="8"/>
    </row>
    <row r="172" spans="1:10" x14ac:dyDescent="0.2">
      <c r="A172" s="10">
        <v>15536</v>
      </c>
      <c r="B172" s="11">
        <v>42033</v>
      </c>
      <c r="C172" s="12">
        <v>10</v>
      </c>
      <c r="D172" s="12">
        <v>0.76</v>
      </c>
      <c r="E172" s="17"/>
      <c r="H172" s="14"/>
      <c r="I172" s="16"/>
      <c r="J172" s="8"/>
    </row>
    <row r="173" spans="1:10" x14ac:dyDescent="0.2">
      <c r="A173" s="10">
        <v>15537</v>
      </c>
      <c r="B173" s="11">
        <v>42033</v>
      </c>
      <c r="C173" s="12">
        <v>191.06</v>
      </c>
      <c r="D173" s="12">
        <v>14.56</v>
      </c>
      <c r="E173" s="17"/>
      <c r="H173" s="14"/>
      <c r="I173" s="16"/>
      <c r="J173" s="8"/>
    </row>
    <row r="174" spans="1:10" x14ac:dyDescent="0.2">
      <c r="A174" s="10">
        <v>15538</v>
      </c>
      <c r="B174" s="11">
        <v>42033</v>
      </c>
      <c r="C174" s="12">
        <v>47.31</v>
      </c>
      <c r="D174" s="12">
        <v>3.61</v>
      </c>
      <c r="E174" s="17"/>
      <c r="F174" s="18"/>
      <c r="G174" s="19"/>
      <c r="H174" s="14"/>
      <c r="I174" s="16"/>
      <c r="J174" s="8"/>
    </row>
    <row r="175" spans="1:10" x14ac:dyDescent="0.2">
      <c r="A175" s="10">
        <v>15539</v>
      </c>
      <c r="B175" s="11">
        <v>42033</v>
      </c>
      <c r="C175" s="12">
        <v>57.37</v>
      </c>
      <c r="D175" s="12">
        <v>4.37</v>
      </c>
      <c r="E175" s="15" t="s">
        <v>21</v>
      </c>
      <c r="H175" s="16"/>
      <c r="I175" s="16"/>
      <c r="J175" s="8"/>
    </row>
    <row r="176" spans="1:10" x14ac:dyDescent="0.2">
      <c r="A176" s="10">
        <v>15540</v>
      </c>
      <c r="B176" s="11">
        <v>42033</v>
      </c>
      <c r="C176" s="12">
        <v>69.28</v>
      </c>
      <c r="D176" s="12">
        <v>5.28</v>
      </c>
      <c r="E176" s="17"/>
      <c r="F176" s="18"/>
      <c r="G176" s="19"/>
      <c r="H176" s="14"/>
      <c r="I176" s="16"/>
      <c r="J176" s="8"/>
    </row>
    <row r="177" spans="1:10" x14ac:dyDescent="0.2">
      <c r="A177" s="10">
        <v>15541</v>
      </c>
      <c r="B177" s="11">
        <v>42033</v>
      </c>
      <c r="C177" s="12">
        <v>151.5</v>
      </c>
      <c r="D177" s="12">
        <v>11.55</v>
      </c>
      <c r="E177" s="15"/>
      <c r="F177" s="21"/>
      <c r="G177" s="22"/>
      <c r="H177" s="16"/>
      <c r="I177" s="16"/>
      <c r="J177" s="8"/>
    </row>
    <row r="178" spans="1:10" x14ac:dyDescent="0.2">
      <c r="A178" s="10">
        <v>15542</v>
      </c>
      <c r="B178" s="11">
        <v>42033</v>
      </c>
      <c r="C178" s="12">
        <v>51.96</v>
      </c>
      <c r="D178" s="12">
        <v>3.96</v>
      </c>
      <c r="E178" s="17"/>
      <c r="H178" s="14"/>
      <c r="I178" s="16"/>
      <c r="J178" s="8"/>
    </row>
    <row r="179" spans="1:10" x14ac:dyDescent="0.2">
      <c r="A179" s="10">
        <v>15543</v>
      </c>
      <c r="B179" s="11">
        <v>42033</v>
      </c>
      <c r="C179" s="12">
        <v>11.64</v>
      </c>
      <c r="D179" s="12">
        <v>0.89</v>
      </c>
      <c r="E179" s="15" t="s">
        <v>11</v>
      </c>
      <c r="H179" s="16"/>
      <c r="I179" s="16"/>
      <c r="J179" s="8"/>
    </row>
    <row r="180" spans="1:10" x14ac:dyDescent="0.2">
      <c r="A180" s="10">
        <v>15544</v>
      </c>
      <c r="B180" s="11">
        <v>42033</v>
      </c>
      <c r="C180" s="12">
        <v>117.99</v>
      </c>
      <c r="D180" s="12">
        <v>8.99</v>
      </c>
      <c r="E180" s="15" t="s">
        <v>21</v>
      </c>
      <c r="H180" s="16"/>
      <c r="I180" s="16"/>
      <c r="J180" s="8"/>
    </row>
    <row r="181" spans="1:10" x14ac:dyDescent="0.2">
      <c r="A181" s="10">
        <v>15545</v>
      </c>
      <c r="B181" s="11">
        <v>42033</v>
      </c>
      <c r="C181" s="12">
        <v>58.46</v>
      </c>
      <c r="D181" s="12">
        <v>4.46</v>
      </c>
      <c r="E181" s="15" t="s">
        <v>11</v>
      </c>
      <c r="F181" s="33">
        <f>+C179+C181</f>
        <v>70.099999999999994</v>
      </c>
      <c r="G181" s="34">
        <v>69.22</v>
      </c>
      <c r="H181" s="16"/>
      <c r="I181" s="16"/>
      <c r="J181" s="8"/>
    </row>
    <row r="182" spans="1:10" x14ac:dyDescent="0.2">
      <c r="A182" s="10">
        <v>15546</v>
      </c>
      <c r="B182" s="11">
        <v>42034</v>
      </c>
      <c r="C182" s="12">
        <v>21.65</v>
      </c>
      <c r="D182" s="12">
        <v>1.65</v>
      </c>
      <c r="E182" s="17"/>
      <c r="F182" s="18"/>
      <c r="G182" s="19"/>
      <c r="H182" s="14"/>
      <c r="I182" s="16"/>
      <c r="J182" s="8"/>
    </row>
    <row r="183" spans="1:10" x14ac:dyDescent="0.2">
      <c r="A183" s="10">
        <v>15547</v>
      </c>
      <c r="B183" s="11">
        <v>42034</v>
      </c>
      <c r="C183" s="12">
        <v>43.3</v>
      </c>
      <c r="D183" s="12">
        <v>3.3</v>
      </c>
      <c r="E183" s="17"/>
      <c r="H183" s="14"/>
      <c r="I183" s="16"/>
      <c r="J183" s="8"/>
    </row>
    <row r="184" spans="1:10" x14ac:dyDescent="0.2">
      <c r="A184" s="10">
        <v>15548</v>
      </c>
      <c r="B184" s="11">
        <v>42034</v>
      </c>
      <c r="C184" s="12">
        <v>35.940000000000005</v>
      </c>
      <c r="D184" s="12">
        <v>2.74</v>
      </c>
      <c r="E184" s="15" t="s">
        <v>7</v>
      </c>
      <c r="H184" s="16"/>
      <c r="I184" s="16"/>
      <c r="J184" s="8"/>
    </row>
    <row r="185" spans="1:10" x14ac:dyDescent="0.2">
      <c r="A185" s="10">
        <v>15549</v>
      </c>
      <c r="B185" s="11">
        <v>42034</v>
      </c>
      <c r="C185" s="12">
        <v>115.28999999999999</v>
      </c>
      <c r="D185" s="12">
        <v>8.7899999999999991</v>
      </c>
      <c r="E185" s="15" t="s">
        <v>7</v>
      </c>
      <c r="F185" s="21"/>
      <c r="G185" s="22"/>
      <c r="H185" s="16"/>
      <c r="I185" s="16"/>
      <c r="J185" s="8"/>
    </row>
    <row r="186" spans="1:10" x14ac:dyDescent="0.2">
      <c r="A186" s="10">
        <v>15550</v>
      </c>
      <c r="B186" s="11">
        <v>42034</v>
      </c>
      <c r="C186" s="12">
        <v>5.36</v>
      </c>
      <c r="D186" s="12">
        <v>0.41</v>
      </c>
      <c r="E186" s="17"/>
      <c r="H186" s="14"/>
      <c r="I186" s="16"/>
      <c r="J186" s="8"/>
    </row>
    <row r="187" spans="1:10" x14ac:dyDescent="0.2">
      <c r="A187" s="10">
        <v>15551</v>
      </c>
      <c r="B187" s="11">
        <v>42034</v>
      </c>
      <c r="C187" s="12">
        <v>59.54</v>
      </c>
      <c r="D187" s="12">
        <v>4.54</v>
      </c>
      <c r="E187" s="17"/>
      <c r="F187" s="18"/>
      <c r="G187" s="19"/>
      <c r="H187" s="14"/>
      <c r="I187" s="16"/>
      <c r="J187" s="8"/>
    </row>
    <row r="188" spans="1:10" x14ac:dyDescent="0.2">
      <c r="A188" s="10">
        <v>15552</v>
      </c>
      <c r="B188" s="11">
        <v>42034</v>
      </c>
      <c r="C188" s="12">
        <v>11.5</v>
      </c>
      <c r="D188" s="12">
        <v>0.88</v>
      </c>
      <c r="E188" s="17"/>
      <c r="F188" s="18"/>
      <c r="G188" s="19"/>
      <c r="H188" s="14"/>
      <c r="I188" s="16"/>
      <c r="J188" s="8"/>
    </row>
    <row r="189" spans="1:10" x14ac:dyDescent="0.2">
      <c r="A189" s="10">
        <v>15553</v>
      </c>
      <c r="B189" s="11">
        <v>42034</v>
      </c>
      <c r="C189" s="12">
        <v>20</v>
      </c>
      <c r="D189" s="12">
        <v>1.52</v>
      </c>
      <c r="E189" s="17"/>
      <c r="H189" s="14"/>
      <c r="I189" s="16"/>
      <c r="J189" s="8"/>
    </row>
    <row r="190" spans="1:10" x14ac:dyDescent="0.2">
      <c r="A190" s="10">
        <v>15554</v>
      </c>
      <c r="B190" s="11">
        <v>42034</v>
      </c>
      <c r="C190" s="12">
        <v>273.33</v>
      </c>
      <c r="D190" s="12">
        <v>20.83</v>
      </c>
      <c r="E190" s="15" t="s">
        <v>11</v>
      </c>
      <c r="H190" s="16"/>
      <c r="I190" s="16"/>
      <c r="J190" s="8"/>
    </row>
    <row r="191" spans="1:10" x14ac:dyDescent="0.2">
      <c r="A191" s="10">
        <v>15555</v>
      </c>
      <c r="B191" s="11">
        <v>42034</v>
      </c>
      <c r="C191" s="12">
        <v>62.79</v>
      </c>
      <c r="D191" s="12">
        <v>4.79</v>
      </c>
      <c r="E191" s="17"/>
      <c r="H191" s="14"/>
      <c r="I191" s="16"/>
      <c r="J191" s="8"/>
    </row>
    <row r="192" spans="1:10" x14ac:dyDescent="0.2">
      <c r="A192" s="10">
        <v>15556</v>
      </c>
      <c r="B192" s="11">
        <v>42034</v>
      </c>
      <c r="C192" s="12">
        <v>16.18</v>
      </c>
      <c r="D192" s="12">
        <v>1.23</v>
      </c>
      <c r="E192" s="15" t="s">
        <v>7</v>
      </c>
      <c r="H192" s="16"/>
      <c r="I192" s="16"/>
      <c r="J192" s="8"/>
    </row>
    <row r="193" spans="1:10" x14ac:dyDescent="0.2">
      <c r="A193" s="10">
        <v>15557</v>
      </c>
      <c r="B193" s="11">
        <v>42034</v>
      </c>
      <c r="C193" s="12">
        <v>21.65</v>
      </c>
      <c r="D193" s="12">
        <v>1.65</v>
      </c>
      <c r="E193" s="15" t="s">
        <v>11</v>
      </c>
      <c r="F193" s="33">
        <f>106.11+C184+C185+C190+C192+C193</f>
        <v>568.5</v>
      </c>
      <c r="G193" s="34">
        <v>558.53</v>
      </c>
      <c r="H193" s="16"/>
      <c r="I193" s="16"/>
      <c r="J193" s="8"/>
    </row>
    <row r="194" spans="1:10" x14ac:dyDescent="0.2">
      <c r="A194" s="10">
        <v>15558</v>
      </c>
      <c r="B194" s="11">
        <v>42035</v>
      </c>
      <c r="C194" s="12">
        <v>5.36</v>
      </c>
      <c r="D194" s="12">
        <v>0.41</v>
      </c>
      <c r="E194" s="17"/>
      <c r="H194" s="14"/>
      <c r="I194" s="16"/>
      <c r="J194" s="8"/>
    </row>
    <row r="195" spans="1:10" x14ac:dyDescent="0.2">
      <c r="A195" s="10">
        <v>15559</v>
      </c>
      <c r="B195" s="11">
        <v>42035</v>
      </c>
      <c r="C195" s="12">
        <v>172.12</v>
      </c>
      <c r="D195" s="12">
        <v>13.12</v>
      </c>
      <c r="E195" s="17"/>
      <c r="H195" s="14"/>
      <c r="I195" s="16"/>
      <c r="J195" s="8"/>
    </row>
    <row r="196" spans="1:10" x14ac:dyDescent="0.2">
      <c r="A196" s="10">
        <v>15560</v>
      </c>
      <c r="B196" s="11">
        <v>42035</v>
      </c>
      <c r="C196" s="12">
        <v>34.200000000000003</v>
      </c>
      <c r="D196" s="12">
        <v>2.61</v>
      </c>
      <c r="E196" s="17"/>
      <c r="F196" s="18"/>
      <c r="G196" s="19"/>
      <c r="H196" s="14"/>
      <c r="I196" s="16"/>
      <c r="J196" s="8"/>
    </row>
    <row r="197" spans="1:10" x14ac:dyDescent="0.2">
      <c r="A197" s="10">
        <v>15561</v>
      </c>
      <c r="B197" s="11">
        <v>42035</v>
      </c>
      <c r="C197" s="12">
        <v>92.01</v>
      </c>
      <c r="D197" s="12">
        <v>7.01</v>
      </c>
      <c r="E197" s="15" t="s">
        <v>11</v>
      </c>
      <c r="F197" s="21"/>
      <c r="G197" s="22"/>
      <c r="H197" s="16"/>
      <c r="I197" s="16"/>
      <c r="J197" s="8"/>
    </row>
    <row r="198" spans="1:10" x14ac:dyDescent="0.2">
      <c r="A198" s="10">
        <v>15562</v>
      </c>
      <c r="B198" s="11">
        <v>42035</v>
      </c>
      <c r="C198" s="12">
        <v>36.1</v>
      </c>
      <c r="D198" s="12">
        <v>2.75</v>
      </c>
      <c r="E198" s="13"/>
      <c r="F198" s="18"/>
      <c r="G198" s="19"/>
      <c r="H198" s="14"/>
      <c r="I198" s="16"/>
      <c r="J198" s="8"/>
    </row>
    <row r="199" spans="1:10" x14ac:dyDescent="0.2">
      <c r="A199" s="10">
        <v>15563</v>
      </c>
      <c r="B199" s="11">
        <v>42035</v>
      </c>
      <c r="C199" s="12">
        <v>48.65</v>
      </c>
      <c r="D199" s="12">
        <v>3.71</v>
      </c>
      <c r="E199" s="15" t="s">
        <v>7</v>
      </c>
      <c r="F199" s="21"/>
      <c r="G199" s="22"/>
      <c r="H199" s="16"/>
      <c r="I199" s="16"/>
      <c r="J199" s="8"/>
    </row>
    <row r="200" spans="1:10" x14ac:dyDescent="0.2">
      <c r="A200" s="10">
        <v>15564</v>
      </c>
      <c r="B200" s="11">
        <v>42035</v>
      </c>
      <c r="C200" s="12">
        <v>6</v>
      </c>
      <c r="D200" s="12">
        <v>0.46</v>
      </c>
      <c r="E200" s="13"/>
      <c r="F200" s="18"/>
      <c r="G200" s="19"/>
      <c r="H200" s="14"/>
      <c r="I200" s="16"/>
      <c r="J200" s="8"/>
    </row>
    <row r="201" spans="1:10" x14ac:dyDescent="0.2">
      <c r="A201" s="10">
        <v>15565</v>
      </c>
      <c r="B201" s="11">
        <v>42035</v>
      </c>
      <c r="C201" s="12">
        <v>37.89</v>
      </c>
      <c r="D201" s="12">
        <v>2.89</v>
      </c>
      <c r="E201" s="13"/>
      <c r="F201" s="18"/>
      <c r="G201" s="19"/>
      <c r="H201" s="14"/>
      <c r="I201" s="16"/>
      <c r="J201" s="8"/>
    </row>
    <row r="202" spans="1:10" x14ac:dyDescent="0.2">
      <c r="A202" s="10">
        <v>15566</v>
      </c>
      <c r="B202" s="11">
        <v>42035</v>
      </c>
      <c r="C202" s="12">
        <v>12.94</v>
      </c>
      <c r="D202" s="12">
        <v>0.99</v>
      </c>
      <c r="E202" s="15" t="s">
        <v>11</v>
      </c>
      <c r="H202" s="16"/>
      <c r="I202" s="16"/>
      <c r="J202" s="8"/>
    </row>
    <row r="203" spans="1:10" x14ac:dyDescent="0.2">
      <c r="A203" s="10">
        <v>15567</v>
      </c>
      <c r="B203" s="11">
        <v>42035</v>
      </c>
      <c r="C203" s="12">
        <v>49.69</v>
      </c>
      <c r="D203" s="12">
        <v>3.79</v>
      </c>
      <c r="E203" s="17"/>
      <c r="H203" s="14"/>
      <c r="I203" s="16"/>
      <c r="J203" s="8"/>
    </row>
    <row r="204" spans="1:10" x14ac:dyDescent="0.2">
      <c r="A204" s="10">
        <v>15568</v>
      </c>
      <c r="B204" s="11">
        <v>42035</v>
      </c>
      <c r="C204" s="12">
        <v>263</v>
      </c>
      <c r="D204" s="12"/>
      <c r="E204" s="15" t="s">
        <v>248</v>
      </c>
      <c r="F204" s="21"/>
      <c r="G204" s="22"/>
      <c r="H204" s="16"/>
      <c r="I204" s="16"/>
      <c r="J204" s="8"/>
    </row>
    <row r="205" spans="1:10" x14ac:dyDescent="0.2">
      <c r="A205" s="10">
        <v>15569</v>
      </c>
      <c r="B205" s="11">
        <v>42035</v>
      </c>
      <c r="C205" s="12">
        <v>102.84</v>
      </c>
      <c r="D205" s="12">
        <v>7.84</v>
      </c>
      <c r="E205" s="15" t="s">
        <v>21</v>
      </c>
      <c r="H205" s="16"/>
      <c r="I205" s="16"/>
      <c r="J205" s="8"/>
    </row>
    <row r="206" spans="1:10" x14ac:dyDescent="0.2">
      <c r="A206" s="10">
        <v>15570</v>
      </c>
      <c r="B206" s="11">
        <v>42035</v>
      </c>
      <c r="C206" s="12">
        <v>86.71</v>
      </c>
      <c r="D206" s="12">
        <v>6.61</v>
      </c>
      <c r="E206" s="15" t="s">
        <v>7</v>
      </c>
      <c r="H206" s="16"/>
      <c r="I206" s="16"/>
      <c r="J206" s="8"/>
    </row>
    <row r="207" spans="1:10" x14ac:dyDescent="0.2">
      <c r="A207" s="10">
        <v>15571</v>
      </c>
      <c r="B207" s="11">
        <v>42035</v>
      </c>
      <c r="C207" s="12"/>
      <c r="D207" s="12"/>
      <c r="E207" s="13" t="s">
        <v>249</v>
      </c>
      <c r="F207" s="18"/>
      <c r="G207" s="19"/>
      <c r="H207" s="14"/>
      <c r="I207" s="16"/>
      <c r="J207" s="8"/>
    </row>
    <row r="208" spans="1:10" x14ac:dyDescent="0.2">
      <c r="A208" s="10">
        <v>15572</v>
      </c>
      <c r="B208" s="11">
        <v>42035</v>
      </c>
      <c r="C208" s="12">
        <v>7.5200000000000005</v>
      </c>
      <c r="D208" s="12">
        <v>0.56999999999999995</v>
      </c>
      <c r="E208" s="15" t="s">
        <v>11</v>
      </c>
      <c r="F208" s="21"/>
      <c r="G208" s="22"/>
      <c r="H208" s="16"/>
      <c r="I208" s="16"/>
      <c r="J208" s="8"/>
    </row>
    <row r="209" spans="1:12" x14ac:dyDescent="0.2">
      <c r="A209" s="10">
        <v>15573</v>
      </c>
      <c r="B209" s="11">
        <v>42035</v>
      </c>
      <c r="C209" s="12">
        <v>14.02</v>
      </c>
      <c r="D209" s="12">
        <v>1.07</v>
      </c>
      <c r="E209" s="13"/>
      <c r="F209" s="18"/>
      <c r="G209" s="19"/>
      <c r="H209" s="14"/>
      <c r="I209" s="16"/>
      <c r="J209" s="8"/>
    </row>
    <row r="210" spans="1:12" x14ac:dyDescent="0.2">
      <c r="A210" s="10">
        <v>15574</v>
      </c>
      <c r="B210" s="11">
        <v>42035</v>
      </c>
      <c r="C210" s="12">
        <v>130.16999999999999</v>
      </c>
      <c r="D210" s="12">
        <v>9.92</v>
      </c>
      <c r="E210" s="15" t="s">
        <v>11</v>
      </c>
      <c r="F210" s="21"/>
      <c r="G210" s="22"/>
      <c r="H210" s="16"/>
      <c r="I210" s="16"/>
      <c r="J210" s="8"/>
    </row>
    <row r="211" spans="1:12" x14ac:dyDescent="0.2">
      <c r="A211" s="10">
        <v>15575</v>
      </c>
      <c r="B211" s="11">
        <v>42035</v>
      </c>
      <c r="C211" s="12">
        <v>117.94</v>
      </c>
      <c r="D211" s="12">
        <v>8.99</v>
      </c>
      <c r="E211" s="15" t="s">
        <v>11</v>
      </c>
      <c r="F211" s="33">
        <f>259+C202+C199+C197+C206+C208+C210+C211</f>
        <v>754.93999999999983</v>
      </c>
      <c r="G211" s="34">
        <v>747.65</v>
      </c>
      <c r="H211" s="16"/>
      <c r="I211" s="16"/>
      <c r="J211" s="8"/>
    </row>
    <row r="212" spans="1:12" x14ac:dyDescent="0.2">
      <c r="E212" s="26"/>
      <c r="H212" s="10"/>
    </row>
    <row r="213" spans="1:12" x14ac:dyDescent="0.2">
      <c r="E213" s="26"/>
      <c r="H213" s="12"/>
      <c r="I213" s="5"/>
      <c r="J213" s="27"/>
      <c r="L213" s="28"/>
    </row>
    <row r="214" spans="1:12" x14ac:dyDescent="0.2">
      <c r="E214" s="26"/>
      <c r="H214" s="12"/>
      <c r="I214" s="5"/>
      <c r="J214" s="27"/>
      <c r="L214" s="28"/>
    </row>
    <row r="215" spans="1:12" x14ac:dyDescent="0.2">
      <c r="E215" s="26"/>
      <c r="H215" s="10"/>
      <c r="I215" s="5"/>
      <c r="J215" s="27"/>
      <c r="L215" s="28"/>
    </row>
    <row r="216" spans="1:12" x14ac:dyDescent="0.2">
      <c r="E216" s="26"/>
      <c r="H216" s="10"/>
      <c r="I216" s="5"/>
      <c r="J216" s="27"/>
      <c r="L216" s="28"/>
    </row>
    <row r="217" spans="1:12" x14ac:dyDescent="0.2">
      <c r="E217" s="26"/>
      <c r="H217" s="12"/>
      <c r="I217" s="5"/>
      <c r="J217" s="27"/>
      <c r="L217" s="28"/>
    </row>
    <row r="218" spans="1:12" x14ac:dyDescent="0.2">
      <c r="E218" s="26"/>
      <c r="H218" s="12"/>
      <c r="I218" s="5"/>
      <c r="J218" s="27"/>
      <c r="L218" s="28"/>
    </row>
    <row r="219" spans="1:12" x14ac:dyDescent="0.2">
      <c r="E219" s="26"/>
      <c r="H219" s="10"/>
      <c r="I219" s="5"/>
      <c r="J219" s="27"/>
      <c r="K219" s="27"/>
      <c r="L219" s="25"/>
    </row>
    <row r="220" spans="1:12" x14ac:dyDescent="0.2">
      <c r="E220" s="26"/>
      <c r="H220" s="12"/>
      <c r="I220" s="5"/>
      <c r="J220" s="27"/>
      <c r="L220" s="28"/>
    </row>
    <row r="221" spans="1:12" x14ac:dyDescent="0.2">
      <c r="E221" s="26"/>
      <c r="H221" s="12"/>
      <c r="I221" s="5"/>
      <c r="J221" s="27"/>
      <c r="L221" s="28"/>
    </row>
    <row r="222" spans="1:12" x14ac:dyDescent="0.2">
      <c r="E222" s="26"/>
      <c r="H222" s="12"/>
      <c r="I222" s="5"/>
      <c r="J222" s="27"/>
      <c r="L222" s="28"/>
    </row>
    <row r="223" spans="1:12" x14ac:dyDescent="0.2">
      <c r="E223" s="26"/>
      <c r="H223" s="12"/>
      <c r="I223" s="5"/>
      <c r="J223" s="27"/>
      <c r="L223" s="28"/>
    </row>
    <row r="224" spans="1:12" x14ac:dyDescent="0.2">
      <c r="E224" s="26"/>
      <c r="H224" s="12"/>
      <c r="I224" s="5"/>
      <c r="J224" s="27"/>
      <c r="L224" s="28"/>
    </row>
    <row r="225" spans="5:12" x14ac:dyDescent="0.2">
      <c r="E225" s="26"/>
      <c r="H225" s="12"/>
      <c r="I225" s="5"/>
      <c r="J225" s="27"/>
      <c r="L225" s="28"/>
    </row>
    <row r="226" spans="5:12" x14ac:dyDescent="0.2">
      <c r="E226" s="26"/>
      <c r="I226" s="5"/>
      <c r="J226" s="27"/>
      <c r="K226" s="27"/>
      <c r="L226" s="25"/>
    </row>
    <row r="227" spans="5:12" x14ac:dyDescent="0.2">
      <c r="E227" s="26"/>
    </row>
    <row r="228" spans="5:12" x14ac:dyDescent="0.2">
      <c r="E228" s="26"/>
    </row>
    <row r="229" spans="5:12" x14ac:dyDescent="0.2">
      <c r="E229" s="26"/>
    </row>
    <row r="230" spans="5:12" x14ac:dyDescent="0.2">
      <c r="E230" s="26"/>
    </row>
    <row r="231" spans="5:12" x14ac:dyDescent="0.2">
      <c r="E231" s="26"/>
    </row>
    <row r="232" spans="5:12" x14ac:dyDescent="0.2">
      <c r="E232" s="26"/>
    </row>
    <row r="233" spans="5:12" x14ac:dyDescent="0.2">
      <c r="E233" s="26"/>
    </row>
    <row r="234" spans="5:12" x14ac:dyDescent="0.2">
      <c r="E234" s="26"/>
    </row>
    <row r="235" spans="5:12" x14ac:dyDescent="0.2">
      <c r="E235" s="26"/>
    </row>
    <row r="236" spans="5:12" x14ac:dyDescent="0.2">
      <c r="E236" s="26"/>
    </row>
    <row r="237" spans="5:12" x14ac:dyDescent="0.2">
      <c r="E237" s="26"/>
    </row>
    <row r="238" spans="5:12" x14ac:dyDescent="0.2">
      <c r="E238" s="26"/>
    </row>
    <row r="239" spans="5:12" x14ac:dyDescent="0.2">
      <c r="E239" s="26"/>
    </row>
    <row r="240" spans="5:12" x14ac:dyDescent="0.2">
      <c r="E240" s="26"/>
    </row>
    <row r="241" spans="1:10" x14ac:dyDescent="0.2">
      <c r="E241" s="26"/>
    </row>
    <row r="242" spans="1:10" x14ac:dyDescent="0.2">
      <c r="E242" s="26"/>
    </row>
    <row r="243" spans="1:10" x14ac:dyDescent="0.2">
      <c r="E243" s="26"/>
    </row>
    <row r="244" spans="1:10" x14ac:dyDescent="0.2">
      <c r="E244" s="26"/>
    </row>
    <row r="245" spans="1:10" x14ac:dyDescent="0.2">
      <c r="E245" s="26"/>
    </row>
    <row r="246" spans="1:10" x14ac:dyDescent="0.2">
      <c r="E246" s="26"/>
    </row>
    <row r="247" spans="1:10" x14ac:dyDescent="0.2">
      <c r="E247" s="26"/>
    </row>
    <row r="248" spans="1:10" x14ac:dyDescent="0.2">
      <c r="E248" s="26"/>
    </row>
    <row r="249" spans="1:10" s="29" customFormat="1" x14ac:dyDescent="0.2">
      <c r="A249" s="4"/>
      <c r="B249" s="11"/>
      <c r="C249" s="25"/>
      <c r="D249" s="4"/>
      <c r="E249" s="26"/>
      <c r="F249" s="4"/>
      <c r="G249" s="4"/>
      <c r="H249" s="25"/>
      <c r="I249" s="4"/>
      <c r="J249" s="4"/>
    </row>
    <row r="250" spans="1:10" s="29" customFormat="1" x14ac:dyDescent="0.2">
      <c r="A250" s="4"/>
      <c r="B250" s="11"/>
      <c r="C250" s="25"/>
      <c r="D250" s="4"/>
      <c r="E250" s="26"/>
      <c r="F250" s="4"/>
      <c r="G250" s="4"/>
      <c r="H250" s="25"/>
      <c r="I250" s="4"/>
      <c r="J250" s="4"/>
    </row>
    <row r="251" spans="1:10" x14ac:dyDescent="0.2">
      <c r="A251" s="29"/>
      <c r="B251" s="30"/>
      <c r="C251" s="31"/>
      <c r="D251" s="29"/>
      <c r="E251" s="32"/>
      <c r="F251" s="29"/>
      <c r="G251" s="29"/>
      <c r="H251" s="31"/>
      <c r="I251" s="29"/>
      <c r="J251" s="29"/>
    </row>
    <row r="252" spans="1:10" x14ac:dyDescent="0.2">
      <c r="A252" s="29"/>
      <c r="B252" s="30"/>
      <c r="C252" s="31"/>
      <c r="D252" s="29"/>
      <c r="E252" s="32"/>
      <c r="F252" s="29"/>
      <c r="G252" s="29"/>
      <c r="H252" s="31"/>
      <c r="I252" s="29"/>
      <c r="J252" s="29"/>
    </row>
    <row r="253" spans="1:10" x14ac:dyDescent="0.2">
      <c r="E253" s="26"/>
    </row>
    <row r="254" spans="1:10" x14ac:dyDescent="0.2">
      <c r="E254" s="26"/>
    </row>
    <row r="255" spans="1:10" x14ac:dyDescent="0.2">
      <c r="E255" s="26"/>
    </row>
    <row r="256" spans="1:10" x14ac:dyDescent="0.2">
      <c r="E256" s="26"/>
    </row>
    <row r="257" spans="5:5" x14ac:dyDescent="0.2">
      <c r="E257" s="26"/>
    </row>
    <row r="258" spans="5:5" x14ac:dyDescent="0.2">
      <c r="E258" s="26"/>
    </row>
    <row r="259" spans="5:5" x14ac:dyDescent="0.2">
      <c r="E259" s="26"/>
    </row>
    <row r="260" spans="5:5" x14ac:dyDescent="0.2">
      <c r="E260" s="26"/>
    </row>
    <row r="261" spans="5:5" x14ac:dyDescent="0.2">
      <c r="E261" s="26"/>
    </row>
    <row r="262" spans="5:5" x14ac:dyDescent="0.2">
      <c r="E262" s="26"/>
    </row>
    <row r="263" spans="5:5" x14ac:dyDescent="0.2">
      <c r="E263" s="26"/>
    </row>
    <row r="264" spans="5:5" x14ac:dyDescent="0.2">
      <c r="E264" s="26"/>
    </row>
    <row r="265" spans="5:5" x14ac:dyDescent="0.2">
      <c r="E265" s="26"/>
    </row>
    <row r="266" spans="5:5" x14ac:dyDescent="0.2">
      <c r="E266" s="26"/>
    </row>
    <row r="267" spans="5:5" x14ac:dyDescent="0.2">
      <c r="E267" s="26"/>
    </row>
    <row r="268" spans="5:5" x14ac:dyDescent="0.2">
      <c r="E268" s="26"/>
    </row>
    <row r="269" spans="5:5" x14ac:dyDescent="0.2">
      <c r="E269" s="26"/>
    </row>
    <row r="270" spans="5:5" x14ac:dyDescent="0.2">
      <c r="E270" s="26"/>
    </row>
    <row r="271" spans="5:5" x14ac:dyDescent="0.2">
      <c r="E271" s="26"/>
    </row>
    <row r="272" spans="5:5" x14ac:dyDescent="0.2">
      <c r="E272" s="26"/>
    </row>
    <row r="273" spans="5:5" x14ac:dyDescent="0.2">
      <c r="E273" s="26"/>
    </row>
    <row r="274" spans="5:5" x14ac:dyDescent="0.2">
      <c r="E274" s="26"/>
    </row>
    <row r="275" spans="5:5" x14ac:dyDescent="0.2">
      <c r="E275" s="26"/>
    </row>
    <row r="276" spans="5:5" x14ac:dyDescent="0.2">
      <c r="E276" s="26"/>
    </row>
    <row r="277" spans="5:5" x14ac:dyDescent="0.2">
      <c r="E277" s="26"/>
    </row>
    <row r="278" spans="5:5" x14ac:dyDescent="0.2">
      <c r="E278" s="26"/>
    </row>
    <row r="279" spans="5:5" x14ac:dyDescent="0.2">
      <c r="E279" s="26"/>
    </row>
    <row r="280" spans="5:5" x14ac:dyDescent="0.2">
      <c r="E280" s="26"/>
    </row>
    <row r="281" spans="5:5" x14ac:dyDescent="0.2">
      <c r="E281" s="26"/>
    </row>
    <row r="282" spans="5:5" x14ac:dyDescent="0.2">
      <c r="E282" s="26"/>
    </row>
    <row r="283" spans="5:5" x14ac:dyDescent="0.2">
      <c r="E283" s="26"/>
    </row>
    <row r="284" spans="5:5" x14ac:dyDescent="0.2">
      <c r="E284" s="26"/>
    </row>
    <row r="285" spans="5:5" x14ac:dyDescent="0.2">
      <c r="E285" s="26"/>
    </row>
    <row r="286" spans="5:5" x14ac:dyDescent="0.2">
      <c r="E286" s="26"/>
    </row>
    <row r="287" spans="5:5" x14ac:dyDescent="0.2">
      <c r="E287" s="26"/>
    </row>
    <row r="288" spans="5:5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3247"/>
  <sheetViews>
    <sheetView topLeftCell="A187" workbookViewId="0">
      <selection activeCell="A232" sqref="A232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SUM(C162:C429)</f>
        <v>6551.0600000000013</v>
      </c>
      <c r="D1" s="3">
        <f>SUM(D162:D429)</f>
        <v>456.67999999999984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s="8" customFormat="1" x14ac:dyDescent="0.2">
      <c r="A3" s="10">
        <v>15137</v>
      </c>
      <c r="B3" s="11">
        <v>41974</v>
      </c>
      <c r="C3" s="12">
        <v>500</v>
      </c>
      <c r="D3" s="12"/>
      <c r="E3" s="13" t="s">
        <v>6</v>
      </c>
      <c r="F3" s="14"/>
      <c r="G3" s="14"/>
      <c r="H3" s="14"/>
    </row>
    <row r="4" spans="1:10" s="8" customFormat="1" x14ac:dyDescent="0.2">
      <c r="A4" s="10">
        <v>15138</v>
      </c>
      <c r="B4" s="11">
        <v>41974</v>
      </c>
      <c r="C4" s="12">
        <v>10.83</v>
      </c>
      <c r="D4" s="12">
        <v>0.83</v>
      </c>
      <c r="E4" s="12"/>
      <c r="F4" s="14"/>
      <c r="G4" s="14"/>
      <c r="H4" s="14"/>
    </row>
    <row r="5" spans="1:10" s="8" customFormat="1" x14ac:dyDescent="0.2">
      <c r="A5" s="10">
        <v>15139</v>
      </c>
      <c r="B5" s="11">
        <v>41974</v>
      </c>
      <c r="C5" s="12">
        <v>227.32999999999998</v>
      </c>
      <c r="D5" s="12">
        <v>17.329999999999998</v>
      </c>
      <c r="E5" s="12"/>
      <c r="F5" s="14"/>
      <c r="G5" s="14"/>
      <c r="H5" s="14"/>
    </row>
    <row r="6" spans="1:10" s="8" customFormat="1" x14ac:dyDescent="0.2">
      <c r="A6" s="10">
        <v>15140</v>
      </c>
      <c r="B6" s="11">
        <v>41974</v>
      </c>
      <c r="C6" s="12">
        <v>128.82</v>
      </c>
      <c r="D6" s="12">
        <v>9.82</v>
      </c>
      <c r="E6" s="15" t="s">
        <v>7</v>
      </c>
      <c r="H6" s="16"/>
      <c r="I6" s="16"/>
    </row>
    <row r="7" spans="1:10" s="8" customFormat="1" x14ac:dyDescent="0.2">
      <c r="A7" s="10">
        <v>15141</v>
      </c>
      <c r="B7" s="11">
        <v>41974</v>
      </c>
      <c r="C7" s="12">
        <v>43.3</v>
      </c>
      <c r="D7" s="12">
        <v>3.3</v>
      </c>
      <c r="E7" s="17"/>
      <c r="H7" s="14"/>
      <c r="I7" s="16"/>
    </row>
    <row r="8" spans="1:10" s="8" customFormat="1" x14ac:dyDescent="0.2">
      <c r="A8" s="10">
        <v>15142</v>
      </c>
      <c r="B8" s="11">
        <v>41974</v>
      </c>
      <c r="C8" s="12">
        <v>81</v>
      </c>
      <c r="D8" s="12"/>
      <c r="E8" s="17"/>
      <c r="F8" s="18"/>
      <c r="G8" s="19"/>
      <c r="H8" s="14"/>
      <c r="I8" s="16"/>
    </row>
    <row r="9" spans="1:10" s="8" customFormat="1" x14ac:dyDescent="0.2">
      <c r="A9" s="10">
        <v>15143</v>
      </c>
      <c r="B9" s="11">
        <v>41974</v>
      </c>
      <c r="C9" s="12">
        <v>20.57</v>
      </c>
      <c r="D9" s="12">
        <v>1.57</v>
      </c>
      <c r="E9" s="17"/>
      <c r="F9" s="18"/>
      <c r="G9" s="19"/>
      <c r="H9" s="14"/>
      <c r="I9" s="16"/>
    </row>
    <row r="10" spans="1:10" s="8" customFormat="1" x14ac:dyDescent="0.2">
      <c r="A10" s="10">
        <v>15144</v>
      </c>
      <c r="B10" s="11">
        <v>41974</v>
      </c>
      <c r="C10" s="12">
        <v>15</v>
      </c>
      <c r="D10" s="12">
        <v>1.1399999999999999</v>
      </c>
      <c r="E10" s="17"/>
      <c r="F10" s="18"/>
      <c r="G10" s="19"/>
      <c r="H10" s="14"/>
      <c r="I10" s="16"/>
    </row>
    <row r="11" spans="1:10" s="8" customFormat="1" x14ac:dyDescent="0.2">
      <c r="A11" s="10">
        <v>15145</v>
      </c>
      <c r="B11" s="11">
        <v>41974</v>
      </c>
      <c r="C11" s="12">
        <v>2.44</v>
      </c>
      <c r="D11" s="12">
        <v>0.19</v>
      </c>
      <c r="E11" s="17"/>
      <c r="H11" s="14"/>
      <c r="I11" s="16"/>
    </row>
    <row r="12" spans="1:10" s="8" customFormat="1" x14ac:dyDescent="0.2">
      <c r="A12" s="10">
        <v>15146</v>
      </c>
      <c r="B12" s="11">
        <v>41974</v>
      </c>
      <c r="C12" s="12">
        <v>53.96</v>
      </c>
      <c r="D12" s="12"/>
      <c r="E12" s="13" t="s">
        <v>8</v>
      </c>
      <c r="F12" s="18"/>
      <c r="G12" s="19"/>
      <c r="H12" s="14"/>
      <c r="I12" s="16"/>
    </row>
    <row r="13" spans="1:10" s="8" customFormat="1" x14ac:dyDescent="0.2">
      <c r="A13" s="10">
        <v>15147</v>
      </c>
      <c r="B13" s="11">
        <v>41974</v>
      </c>
      <c r="C13" s="12">
        <v>2.3800000000000026</v>
      </c>
      <c r="D13" s="12"/>
      <c r="E13" s="13" t="s">
        <v>8</v>
      </c>
      <c r="F13" s="18"/>
      <c r="G13" s="19"/>
      <c r="H13" s="14"/>
      <c r="I13" s="16"/>
    </row>
    <row r="14" spans="1:10" s="8" customFormat="1" x14ac:dyDescent="0.2">
      <c r="A14" s="10">
        <v>15148</v>
      </c>
      <c r="B14" s="11">
        <v>41974</v>
      </c>
      <c r="C14" s="12">
        <v>96</v>
      </c>
      <c r="D14" s="12"/>
      <c r="E14" s="15" t="s">
        <v>9</v>
      </c>
      <c r="H14" s="16"/>
      <c r="I14" s="16"/>
    </row>
    <row r="15" spans="1:10" s="8" customFormat="1" x14ac:dyDescent="0.2">
      <c r="A15" s="10">
        <v>15149</v>
      </c>
      <c r="B15" s="11">
        <v>41974</v>
      </c>
      <c r="C15" s="12">
        <v>14.28</v>
      </c>
      <c r="D15" s="12"/>
      <c r="E15" s="13" t="s">
        <v>8</v>
      </c>
      <c r="F15" s="20">
        <f>+C6+C14</f>
        <v>224.82</v>
      </c>
      <c r="G15" s="20">
        <v>221.88</v>
      </c>
      <c r="H15" s="14"/>
      <c r="I15" s="16"/>
    </row>
    <row r="16" spans="1:10" s="8" customFormat="1" x14ac:dyDescent="0.2">
      <c r="A16" s="10">
        <v>15150</v>
      </c>
      <c r="B16" s="11">
        <v>41975</v>
      </c>
      <c r="C16" s="12">
        <v>35.72</v>
      </c>
      <c r="D16" s="12">
        <v>2.72</v>
      </c>
      <c r="E16" s="17"/>
      <c r="F16" s="18"/>
      <c r="G16" s="19"/>
      <c r="H16" s="14"/>
      <c r="I16" s="16"/>
    </row>
    <row r="17" spans="1:9" s="8" customFormat="1" x14ac:dyDescent="0.2">
      <c r="A17" s="10">
        <v>15151</v>
      </c>
      <c r="B17" s="11">
        <v>41975</v>
      </c>
      <c r="C17" s="12">
        <v>40</v>
      </c>
      <c r="D17" s="12">
        <v>3.05</v>
      </c>
      <c r="E17" s="17"/>
      <c r="H17" s="14"/>
      <c r="I17" s="16"/>
    </row>
    <row r="18" spans="1:9" s="8" customFormat="1" x14ac:dyDescent="0.2">
      <c r="A18" s="10">
        <v>15152</v>
      </c>
      <c r="B18" s="11">
        <v>41975</v>
      </c>
      <c r="C18" s="12">
        <v>670.93</v>
      </c>
      <c r="D18" s="12">
        <v>51.13</v>
      </c>
      <c r="E18" s="15"/>
      <c r="H18" s="16"/>
      <c r="I18" s="16"/>
    </row>
    <row r="19" spans="1:9" s="8" customFormat="1" x14ac:dyDescent="0.2">
      <c r="A19" s="10">
        <v>15153</v>
      </c>
      <c r="B19" s="11">
        <v>41975</v>
      </c>
      <c r="C19" s="12">
        <v>319.27999999999997</v>
      </c>
      <c r="D19" s="12">
        <v>24.33</v>
      </c>
      <c r="E19" s="15" t="s">
        <v>7</v>
      </c>
      <c r="F19" s="21"/>
      <c r="G19" s="22"/>
      <c r="H19" s="16"/>
      <c r="I19" s="16"/>
    </row>
    <row r="20" spans="1:9" s="8" customFormat="1" x14ac:dyDescent="0.2">
      <c r="A20" s="10">
        <v>15154</v>
      </c>
      <c r="B20" s="11">
        <v>41975</v>
      </c>
      <c r="C20" s="12">
        <v>23.82</v>
      </c>
      <c r="D20" s="12">
        <v>1.82</v>
      </c>
      <c r="E20" s="17"/>
      <c r="H20" s="14"/>
      <c r="I20" s="16"/>
    </row>
    <row r="21" spans="1:9" s="8" customFormat="1" x14ac:dyDescent="0.2">
      <c r="A21" s="10">
        <v>15155</v>
      </c>
      <c r="B21" s="11">
        <v>41975</v>
      </c>
      <c r="C21" s="12">
        <v>188</v>
      </c>
      <c r="D21" s="12"/>
      <c r="E21" s="15" t="s">
        <v>10</v>
      </c>
      <c r="H21" s="16"/>
      <c r="I21" s="16"/>
    </row>
    <row r="22" spans="1:9" s="8" customFormat="1" x14ac:dyDescent="0.2">
      <c r="A22" s="10">
        <v>15156</v>
      </c>
      <c r="B22" s="11">
        <v>41975</v>
      </c>
      <c r="C22" s="12">
        <v>161.83000000000001</v>
      </c>
      <c r="D22" s="12">
        <v>12.33</v>
      </c>
      <c r="E22" s="15" t="s">
        <v>11</v>
      </c>
      <c r="H22" s="16"/>
      <c r="I22" s="16"/>
    </row>
    <row r="23" spans="1:9" s="8" customFormat="1" x14ac:dyDescent="0.2">
      <c r="A23" s="10">
        <v>15157</v>
      </c>
      <c r="B23" s="11">
        <v>41975</v>
      </c>
      <c r="C23" s="12">
        <v>29</v>
      </c>
      <c r="D23" s="12"/>
      <c r="E23" s="15" t="s">
        <v>12</v>
      </c>
      <c r="F23" s="20">
        <f>99.48+C19</f>
        <v>418.76</v>
      </c>
      <c r="G23" s="20">
        <v>410.73</v>
      </c>
      <c r="H23" s="16"/>
      <c r="I23" s="16"/>
    </row>
    <row r="24" spans="1:9" s="8" customFormat="1" x14ac:dyDescent="0.2">
      <c r="A24" s="10">
        <v>15158</v>
      </c>
      <c r="B24" s="11">
        <v>41976</v>
      </c>
      <c r="C24" s="12">
        <v>150.47</v>
      </c>
      <c r="D24" s="12">
        <v>11.47</v>
      </c>
      <c r="E24" s="17"/>
      <c r="F24" s="18"/>
      <c r="G24" s="19"/>
      <c r="H24" s="14"/>
      <c r="I24" s="16"/>
    </row>
    <row r="25" spans="1:9" s="8" customFormat="1" x14ac:dyDescent="0.2">
      <c r="A25" s="10">
        <v>15159</v>
      </c>
      <c r="B25" s="11">
        <v>41976</v>
      </c>
      <c r="C25" s="12">
        <v>63</v>
      </c>
      <c r="D25" s="12">
        <v>4.8</v>
      </c>
      <c r="E25" s="17"/>
      <c r="H25" s="14"/>
      <c r="I25" s="16"/>
    </row>
    <row r="26" spans="1:9" s="8" customFormat="1" x14ac:dyDescent="0.2">
      <c r="A26" s="10">
        <v>15160</v>
      </c>
      <c r="B26" s="11">
        <v>41976</v>
      </c>
      <c r="C26" s="12">
        <v>52</v>
      </c>
      <c r="D26" s="12">
        <v>3.96</v>
      </c>
      <c r="E26" s="15" t="s">
        <v>7</v>
      </c>
      <c r="H26" s="16"/>
      <c r="I26" s="16"/>
    </row>
    <row r="27" spans="1:9" s="8" customFormat="1" x14ac:dyDescent="0.2">
      <c r="A27" s="10">
        <v>15161</v>
      </c>
      <c r="B27" s="11">
        <v>41976</v>
      </c>
      <c r="C27" s="12">
        <v>31.34</v>
      </c>
      <c r="D27" s="12">
        <v>2.39</v>
      </c>
      <c r="E27" s="17"/>
      <c r="H27" s="14"/>
      <c r="I27" s="16"/>
    </row>
    <row r="28" spans="1:9" s="8" customFormat="1" x14ac:dyDescent="0.2">
      <c r="A28" s="10">
        <v>15162</v>
      </c>
      <c r="B28" s="11">
        <v>41976</v>
      </c>
      <c r="C28" s="12">
        <v>107.17</v>
      </c>
      <c r="D28" s="12">
        <v>8.17</v>
      </c>
      <c r="E28" s="15" t="s">
        <v>13</v>
      </c>
      <c r="H28" s="16"/>
      <c r="I28" s="16"/>
    </row>
    <row r="29" spans="1:9" s="8" customFormat="1" x14ac:dyDescent="0.2">
      <c r="A29" s="10">
        <v>15163</v>
      </c>
      <c r="B29" s="11">
        <v>41976</v>
      </c>
      <c r="C29" s="12">
        <v>71.77</v>
      </c>
      <c r="D29" s="12">
        <v>5.47</v>
      </c>
      <c r="E29" s="17"/>
      <c r="F29" s="18"/>
      <c r="G29" s="19"/>
      <c r="H29" s="14"/>
      <c r="I29" s="16"/>
    </row>
    <row r="30" spans="1:9" s="8" customFormat="1" x14ac:dyDescent="0.2">
      <c r="A30" s="10">
        <v>15164</v>
      </c>
      <c r="B30" s="11">
        <v>41976</v>
      </c>
      <c r="C30" s="12">
        <v>50</v>
      </c>
      <c r="D30" s="12"/>
      <c r="E30" s="17"/>
      <c r="H30" s="14"/>
      <c r="I30" s="16"/>
    </row>
    <row r="31" spans="1:9" s="8" customFormat="1" x14ac:dyDescent="0.2">
      <c r="A31" s="10">
        <v>15165</v>
      </c>
      <c r="B31" s="11">
        <v>41976</v>
      </c>
      <c r="C31" s="12">
        <v>702.54</v>
      </c>
      <c r="D31" s="12">
        <v>53.54</v>
      </c>
      <c r="E31" s="15" t="s">
        <v>7</v>
      </c>
      <c r="H31" s="16"/>
      <c r="I31" s="16"/>
    </row>
    <row r="32" spans="1:9" s="8" customFormat="1" x14ac:dyDescent="0.2">
      <c r="A32" s="10">
        <v>15166</v>
      </c>
      <c r="B32" s="11">
        <v>41976</v>
      </c>
      <c r="C32" s="12">
        <v>-24</v>
      </c>
      <c r="D32" s="12"/>
      <c r="E32" s="13" t="s">
        <v>14</v>
      </c>
      <c r="F32" s="20">
        <f>+C26+C28+C22+C31</f>
        <v>1023.54</v>
      </c>
      <c r="G32" s="20">
        <v>1004.71</v>
      </c>
      <c r="H32" s="14"/>
      <c r="I32" s="16"/>
    </row>
    <row r="33" spans="1:9" s="8" customFormat="1" x14ac:dyDescent="0.2">
      <c r="A33" s="10">
        <v>15167</v>
      </c>
      <c r="B33" s="11">
        <v>41977</v>
      </c>
      <c r="C33" s="12">
        <v>160</v>
      </c>
      <c r="D33" s="12">
        <v>12.19</v>
      </c>
      <c r="E33" s="15" t="s">
        <v>15</v>
      </c>
      <c r="H33" s="16"/>
      <c r="I33" s="16"/>
    </row>
    <row r="34" spans="1:9" s="8" customFormat="1" x14ac:dyDescent="0.2">
      <c r="A34" s="10">
        <v>15168</v>
      </c>
      <c r="B34" s="11">
        <v>41977</v>
      </c>
      <c r="C34" s="12">
        <v>45</v>
      </c>
      <c r="D34" s="12"/>
      <c r="E34" s="15" t="s">
        <v>7</v>
      </c>
      <c r="H34" s="16"/>
      <c r="I34" s="16"/>
    </row>
    <row r="35" spans="1:9" s="8" customFormat="1" x14ac:dyDescent="0.2">
      <c r="A35" s="10">
        <v>15169</v>
      </c>
      <c r="B35" s="11">
        <v>41977</v>
      </c>
      <c r="C35" s="12">
        <v>182.94</v>
      </c>
      <c r="D35" s="12">
        <v>13.94</v>
      </c>
      <c r="E35" s="15" t="s">
        <v>11</v>
      </c>
      <c r="F35" s="21"/>
      <c r="G35" s="22"/>
      <c r="H35" s="16"/>
      <c r="I35" s="16"/>
    </row>
    <row r="36" spans="1:9" s="8" customFormat="1" x14ac:dyDescent="0.2">
      <c r="A36" s="10">
        <v>15170</v>
      </c>
      <c r="B36" s="11">
        <v>41977</v>
      </c>
      <c r="C36" s="12">
        <v>200</v>
      </c>
      <c r="D36" s="12">
        <v>15.25</v>
      </c>
      <c r="E36" s="17"/>
      <c r="F36" s="18"/>
      <c r="G36" s="19"/>
      <c r="H36" s="14"/>
      <c r="I36" s="16"/>
    </row>
    <row r="37" spans="1:9" s="8" customFormat="1" x14ac:dyDescent="0.2">
      <c r="A37" s="10">
        <v>15171</v>
      </c>
      <c r="B37" s="11">
        <v>41977</v>
      </c>
      <c r="C37" s="12">
        <v>10.83</v>
      </c>
      <c r="D37" s="12">
        <v>0.83</v>
      </c>
      <c r="E37" s="17"/>
      <c r="H37" s="14"/>
      <c r="I37" s="16"/>
    </row>
    <row r="38" spans="1:9" s="8" customFormat="1" x14ac:dyDescent="0.2">
      <c r="A38" s="10">
        <v>15172</v>
      </c>
      <c r="B38" s="11">
        <v>41977</v>
      </c>
      <c r="C38" s="12">
        <v>79</v>
      </c>
      <c r="D38" s="12"/>
      <c r="E38" s="15" t="s">
        <v>16</v>
      </c>
      <c r="H38" s="16"/>
      <c r="I38" s="16"/>
    </row>
    <row r="39" spans="1:9" s="8" customFormat="1" x14ac:dyDescent="0.2">
      <c r="A39" s="10">
        <v>15173</v>
      </c>
      <c r="B39" s="11">
        <v>41977</v>
      </c>
      <c r="C39" s="12">
        <v>137.47999999999999</v>
      </c>
      <c r="D39" s="12">
        <v>10.48</v>
      </c>
      <c r="E39" s="17"/>
      <c r="H39" s="14"/>
      <c r="I39" s="16"/>
    </row>
    <row r="40" spans="1:9" s="8" customFormat="1" x14ac:dyDescent="0.2">
      <c r="A40" s="10">
        <v>15174</v>
      </c>
      <c r="B40" s="11">
        <v>41977</v>
      </c>
      <c r="C40" s="12">
        <v>18.349999999999998</v>
      </c>
      <c r="D40" s="12">
        <v>1.4</v>
      </c>
      <c r="E40" s="17"/>
      <c r="F40" s="20">
        <f>188+C34+C35</f>
        <v>415.94</v>
      </c>
      <c r="G40" s="20">
        <v>412.58</v>
      </c>
      <c r="H40" s="14"/>
      <c r="I40" s="16"/>
    </row>
    <row r="41" spans="1:9" s="8" customFormat="1" x14ac:dyDescent="0.2">
      <c r="A41" s="10">
        <v>15175</v>
      </c>
      <c r="B41" s="11">
        <v>41978</v>
      </c>
      <c r="C41" s="12">
        <v>239</v>
      </c>
      <c r="D41" s="12"/>
      <c r="E41" s="15" t="s">
        <v>17</v>
      </c>
      <c r="H41" s="16"/>
      <c r="I41" s="16"/>
    </row>
    <row r="42" spans="1:9" s="8" customFormat="1" x14ac:dyDescent="0.2">
      <c r="A42" s="10">
        <v>15176</v>
      </c>
      <c r="B42" s="11">
        <v>41978</v>
      </c>
      <c r="C42" s="12">
        <v>378.88</v>
      </c>
      <c r="D42" s="12">
        <v>28.88</v>
      </c>
      <c r="E42" s="13" t="s">
        <v>18</v>
      </c>
      <c r="H42" s="14"/>
      <c r="I42" s="16"/>
    </row>
    <row r="43" spans="1:9" s="8" customFormat="1" x14ac:dyDescent="0.2">
      <c r="A43" s="10">
        <v>15177</v>
      </c>
      <c r="B43" s="11">
        <v>41978</v>
      </c>
      <c r="C43" s="12">
        <v>256.55</v>
      </c>
      <c r="D43" s="12">
        <v>19.55</v>
      </c>
      <c r="E43" s="17"/>
      <c r="H43" s="14"/>
      <c r="I43" s="16"/>
    </row>
    <row r="44" spans="1:9" s="8" customFormat="1" x14ac:dyDescent="0.2">
      <c r="A44" s="10">
        <v>15178</v>
      </c>
      <c r="B44" s="11">
        <v>41978</v>
      </c>
      <c r="C44" s="12">
        <v>125.57</v>
      </c>
      <c r="D44" s="12">
        <v>9.57</v>
      </c>
      <c r="E44" s="15" t="s">
        <v>11</v>
      </c>
      <c r="H44" s="16"/>
      <c r="I44" s="16"/>
    </row>
    <row r="45" spans="1:9" s="8" customFormat="1" x14ac:dyDescent="0.2">
      <c r="A45" s="10">
        <v>15179</v>
      </c>
      <c r="B45" s="11">
        <v>41978</v>
      </c>
      <c r="C45" s="12">
        <v>147.76</v>
      </c>
      <c r="D45" s="12">
        <v>11.26</v>
      </c>
      <c r="E45" s="15" t="s">
        <v>11</v>
      </c>
      <c r="H45" s="16"/>
      <c r="I45" s="16"/>
    </row>
    <row r="46" spans="1:9" s="8" customFormat="1" x14ac:dyDescent="0.2">
      <c r="A46" s="10">
        <v>15180</v>
      </c>
      <c r="B46" s="11">
        <v>41978</v>
      </c>
      <c r="C46" s="12">
        <v>19</v>
      </c>
      <c r="D46" s="12"/>
      <c r="E46" s="13" t="s">
        <v>19</v>
      </c>
      <c r="F46" s="18"/>
      <c r="G46" s="19"/>
      <c r="H46" s="14"/>
      <c r="I46" s="16"/>
    </row>
    <row r="47" spans="1:9" s="8" customFormat="1" x14ac:dyDescent="0.2">
      <c r="A47" s="10">
        <v>15181</v>
      </c>
      <c r="B47" s="11">
        <v>41978</v>
      </c>
      <c r="C47" s="12">
        <v>86.6</v>
      </c>
      <c r="D47" s="12">
        <v>6.6</v>
      </c>
      <c r="E47" s="17"/>
      <c r="H47" s="14"/>
      <c r="I47" s="16"/>
    </row>
    <row r="48" spans="1:9" s="8" customFormat="1" x14ac:dyDescent="0.2">
      <c r="A48" s="10">
        <v>15182</v>
      </c>
      <c r="B48" s="11">
        <v>41978</v>
      </c>
      <c r="C48" s="12">
        <v>36.979999999999997</v>
      </c>
      <c r="D48" s="12">
        <v>2.82</v>
      </c>
      <c r="E48" s="15" t="s">
        <v>11</v>
      </c>
      <c r="F48" s="20">
        <f>+C44+C45+C48+10.47</f>
        <v>320.78000000000003</v>
      </c>
      <c r="G48" s="20">
        <v>317.24</v>
      </c>
      <c r="I48" s="16"/>
    </row>
    <row r="49" spans="1:9" s="8" customFormat="1" x14ac:dyDescent="0.2">
      <c r="A49" s="10">
        <v>15183</v>
      </c>
      <c r="B49" s="11">
        <v>41979</v>
      </c>
      <c r="C49" s="12">
        <v>716.62</v>
      </c>
      <c r="D49" s="12">
        <v>54.62</v>
      </c>
      <c r="E49" s="15" t="s">
        <v>11</v>
      </c>
      <c r="H49" s="16"/>
      <c r="I49" s="16"/>
    </row>
    <row r="50" spans="1:9" s="8" customFormat="1" x14ac:dyDescent="0.2">
      <c r="A50" s="10">
        <v>15184</v>
      </c>
      <c r="B50" s="11">
        <v>41979</v>
      </c>
      <c r="C50" s="12">
        <v>193.77</v>
      </c>
      <c r="D50" s="12">
        <v>14.77</v>
      </c>
      <c r="E50" s="15" t="s">
        <v>20</v>
      </c>
      <c r="H50" s="16"/>
      <c r="I50" s="16"/>
    </row>
    <row r="51" spans="1:9" s="8" customFormat="1" x14ac:dyDescent="0.2">
      <c r="A51" s="10">
        <v>15185</v>
      </c>
      <c r="B51" s="11">
        <v>41979</v>
      </c>
      <c r="C51" s="12">
        <v>45.47</v>
      </c>
      <c r="D51" s="12">
        <v>3.47</v>
      </c>
      <c r="E51" s="17"/>
      <c r="H51" s="14"/>
      <c r="I51" s="16"/>
    </row>
    <row r="52" spans="1:9" s="8" customFormat="1" x14ac:dyDescent="0.2">
      <c r="A52" s="10">
        <v>15186</v>
      </c>
      <c r="B52" s="11">
        <v>41979</v>
      </c>
      <c r="C52" s="12">
        <v>70.36</v>
      </c>
      <c r="D52" s="12">
        <v>5.36</v>
      </c>
      <c r="E52" s="15" t="s">
        <v>11</v>
      </c>
      <c r="F52" s="20">
        <f>+C49+C52</f>
        <v>786.98</v>
      </c>
      <c r="G52" s="20">
        <v>783.66</v>
      </c>
      <c r="H52" s="16"/>
      <c r="I52" s="16"/>
    </row>
    <row r="53" spans="1:9" s="8" customFormat="1" x14ac:dyDescent="0.2">
      <c r="A53" s="10">
        <v>15187</v>
      </c>
      <c r="B53" s="11">
        <v>41981</v>
      </c>
      <c r="C53" s="12">
        <v>21.599999999999998</v>
      </c>
      <c r="D53" s="12">
        <v>1.65</v>
      </c>
      <c r="E53" s="17"/>
      <c r="F53" s="18"/>
      <c r="G53" s="19"/>
      <c r="H53" s="14"/>
      <c r="I53" s="16"/>
    </row>
    <row r="54" spans="1:9" s="8" customFormat="1" x14ac:dyDescent="0.2">
      <c r="A54" s="10">
        <v>15188</v>
      </c>
      <c r="B54" s="11">
        <v>41981</v>
      </c>
      <c r="C54" s="12">
        <v>92.01</v>
      </c>
      <c r="D54" s="12">
        <v>7.01</v>
      </c>
      <c r="E54" s="15"/>
      <c r="H54" s="16"/>
      <c r="I54" s="16"/>
    </row>
    <row r="55" spans="1:9" s="8" customFormat="1" x14ac:dyDescent="0.2">
      <c r="A55" s="10">
        <v>15189</v>
      </c>
      <c r="B55" s="11">
        <v>41981</v>
      </c>
      <c r="C55" s="12">
        <v>135.31</v>
      </c>
      <c r="D55" s="12">
        <v>10.31</v>
      </c>
      <c r="E55" s="15"/>
      <c r="H55" s="16"/>
      <c r="I55" s="16"/>
    </row>
    <row r="56" spans="1:9" s="8" customFormat="1" x14ac:dyDescent="0.2">
      <c r="A56" s="10">
        <v>15190</v>
      </c>
      <c r="B56" s="11">
        <v>41981</v>
      </c>
      <c r="C56" s="12">
        <v>28.04</v>
      </c>
      <c r="D56" s="12">
        <v>2.14</v>
      </c>
      <c r="E56" s="15" t="s">
        <v>7</v>
      </c>
      <c r="H56" s="16"/>
      <c r="I56" s="16"/>
    </row>
    <row r="57" spans="1:9" s="8" customFormat="1" x14ac:dyDescent="0.2">
      <c r="A57" s="10">
        <v>15191</v>
      </c>
      <c r="B57" s="11">
        <v>41981</v>
      </c>
      <c r="C57" s="12">
        <v>52.879999999999995</v>
      </c>
      <c r="D57" s="12">
        <v>4.03</v>
      </c>
      <c r="E57" s="15" t="s">
        <v>11</v>
      </c>
      <c r="H57" s="16"/>
      <c r="I57" s="16"/>
    </row>
    <row r="58" spans="1:9" s="8" customFormat="1" x14ac:dyDescent="0.2">
      <c r="A58" s="10">
        <v>15192</v>
      </c>
      <c r="B58" s="11">
        <v>41981</v>
      </c>
      <c r="C58" s="12">
        <v>601.87</v>
      </c>
      <c r="D58" s="12">
        <v>45.87</v>
      </c>
      <c r="E58" s="15" t="s">
        <v>11</v>
      </c>
      <c r="H58" s="16"/>
      <c r="I58" s="16"/>
    </row>
    <row r="59" spans="1:9" s="8" customFormat="1" x14ac:dyDescent="0.2">
      <c r="A59" s="10">
        <v>15193</v>
      </c>
      <c r="B59" s="11">
        <v>41981</v>
      </c>
      <c r="C59" s="12">
        <v>12.99</v>
      </c>
      <c r="D59" s="12">
        <v>0.99</v>
      </c>
      <c r="E59" s="15" t="s">
        <v>7</v>
      </c>
      <c r="F59" s="21"/>
      <c r="G59" s="22"/>
      <c r="H59" s="16"/>
      <c r="I59" s="16"/>
    </row>
    <row r="60" spans="1:9" s="8" customFormat="1" x14ac:dyDescent="0.2">
      <c r="A60" s="10">
        <v>15194</v>
      </c>
      <c r="B60" s="11">
        <v>41981</v>
      </c>
      <c r="C60" s="12">
        <v>122</v>
      </c>
      <c r="D60" s="12"/>
      <c r="E60" s="15" t="s">
        <v>21</v>
      </c>
      <c r="H60" s="16"/>
      <c r="I60" s="16"/>
    </row>
    <row r="61" spans="1:9" s="8" customFormat="1" x14ac:dyDescent="0.2">
      <c r="A61" s="10">
        <v>15195</v>
      </c>
      <c r="B61" s="11">
        <v>41981</v>
      </c>
      <c r="C61" s="12">
        <v>17</v>
      </c>
      <c r="D61" s="12"/>
      <c r="E61" s="15" t="s">
        <v>21</v>
      </c>
      <c r="F61" s="20">
        <f>80+C56+C57+C59</f>
        <v>173.91</v>
      </c>
      <c r="G61" s="20">
        <v>171.81</v>
      </c>
      <c r="H61" s="16"/>
      <c r="I61" s="16"/>
    </row>
    <row r="62" spans="1:9" s="8" customFormat="1" x14ac:dyDescent="0.2">
      <c r="A62" s="10">
        <v>15196</v>
      </c>
      <c r="B62" s="11">
        <v>41982</v>
      </c>
      <c r="C62" s="12">
        <v>30.8</v>
      </c>
      <c r="D62" s="12">
        <v>2.35</v>
      </c>
      <c r="E62" s="17"/>
      <c r="H62" s="14"/>
      <c r="I62" s="16"/>
    </row>
    <row r="63" spans="1:9" s="8" customFormat="1" x14ac:dyDescent="0.2">
      <c r="A63" s="10">
        <v>15197</v>
      </c>
      <c r="B63" s="11">
        <v>41982</v>
      </c>
      <c r="C63" s="12">
        <v>41.03</v>
      </c>
      <c r="D63" s="12">
        <v>3.13</v>
      </c>
      <c r="E63" s="17"/>
      <c r="H63" s="14"/>
      <c r="I63" s="16"/>
    </row>
    <row r="64" spans="1:9" s="8" customFormat="1" x14ac:dyDescent="0.2">
      <c r="A64" s="10">
        <v>15198</v>
      </c>
      <c r="B64" s="11">
        <v>41982</v>
      </c>
      <c r="C64" s="12">
        <v>9</v>
      </c>
      <c r="D64" s="12"/>
      <c r="E64" s="13" t="s">
        <v>22</v>
      </c>
      <c r="H64" s="14"/>
      <c r="I64" s="16"/>
    </row>
    <row r="65" spans="1:9" s="8" customFormat="1" x14ac:dyDescent="0.2">
      <c r="A65" s="10">
        <v>15199</v>
      </c>
      <c r="B65" s="11">
        <v>41982</v>
      </c>
      <c r="C65" s="12">
        <v>80</v>
      </c>
      <c r="D65" s="12">
        <v>6.1</v>
      </c>
      <c r="E65" s="17"/>
      <c r="F65" s="18"/>
      <c r="G65" s="19"/>
      <c r="H65" s="14"/>
      <c r="I65" s="16"/>
    </row>
    <row r="66" spans="1:9" s="8" customFormat="1" x14ac:dyDescent="0.2">
      <c r="A66" s="10">
        <v>15200</v>
      </c>
      <c r="B66" s="11">
        <v>41982</v>
      </c>
      <c r="C66" s="12">
        <v>169</v>
      </c>
      <c r="D66" s="12">
        <v>12.88</v>
      </c>
      <c r="E66" s="17"/>
      <c r="H66" s="14"/>
      <c r="I66" s="16"/>
    </row>
    <row r="67" spans="1:9" s="8" customFormat="1" x14ac:dyDescent="0.2">
      <c r="A67" s="10">
        <v>15201</v>
      </c>
      <c r="B67" s="11">
        <v>41982</v>
      </c>
      <c r="C67" s="12">
        <v>43.3</v>
      </c>
      <c r="D67" s="12">
        <v>3.3</v>
      </c>
      <c r="E67" s="15" t="s">
        <v>11</v>
      </c>
      <c r="H67" s="16"/>
      <c r="I67" s="16"/>
    </row>
    <row r="68" spans="1:9" s="8" customFormat="1" x14ac:dyDescent="0.2">
      <c r="A68" s="10">
        <v>15202</v>
      </c>
      <c r="B68" s="11">
        <v>41982</v>
      </c>
      <c r="C68" s="12">
        <v>134</v>
      </c>
      <c r="D68" s="12">
        <v>10.210000000000001</v>
      </c>
      <c r="E68" s="17"/>
      <c r="F68" s="18"/>
      <c r="G68" s="19"/>
      <c r="H68" s="14"/>
      <c r="I68" s="16"/>
    </row>
    <row r="69" spans="1:9" s="8" customFormat="1" x14ac:dyDescent="0.2">
      <c r="A69" s="10">
        <v>15203</v>
      </c>
      <c r="B69" s="11">
        <v>41982</v>
      </c>
      <c r="C69" s="12">
        <v>7.04</v>
      </c>
      <c r="D69" s="12">
        <v>0.54</v>
      </c>
      <c r="E69" s="15" t="s">
        <v>23</v>
      </c>
      <c r="F69" s="21"/>
      <c r="G69" s="22"/>
      <c r="H69" s="16"/>
      <c r="I69" s="16"/>
    </row>
    <row r="70" spans="1:9" s="8" customFormat="1" x14ac:dyDescent="0.2">
      <c r="A70" s="10">
        <v>15204</v>
      </c>
      <c r="B70" s="11">
        <v>41982</v>
      </c>
      <c r="C70" s="12">
        <v>199.18</v>
      </c>
      <c r="D70" s="12">
        <v>15.18</v>
      </c>
      <c r="E70" s="15" t="s">
        <v>13</v>
      </c>
      <c r="F70" s="21"/>
      <c r="G70" s="22"/>
      <c r="H70" s="16"/>
      <c r="I70" s="16"/>
    </row>
    <row r="71" spans="1:9" s="8" customFormat="1" x14ac:dyDescent="0.2">
      <c r="A71" s="10">
        <v>15205</v>
      </c>
      <c r="B71" s="11">
        <v>41982</v>
      </c>
      <c r="C71" s="12">
        <v>20</v>
      </c>
      <c r="D71" s="12"/>
      <c r="E71" s="13" t="s">
        <v>8</v>
      </c>
      <c r="H71" s="14"/>
      <c r="I71" s="16"/>
    </row>
    <row r="72" spans="1:9" s="8" customFormat="1" x14ac:dyDescent="0.2">
      <c r="A72" s="10">
        <v>15206</v>
      </c>
      <c r="B72" s="11">
        <v>41982</v>
      </c>
      <c r="C72" s="12">
        <v>54.07</v>
      </c>
      <c r="D72" s="12">
        <v>4.12</v>
      </c>
      <c r="E72" s="17"/>
      <c r="F72" s="18"/>
      <c r="G72" s="19"/>
      <c r="H72" s="14"/>
      <c r="I72" s="16"/>
    </row>
    <row r="73" spans="1:9" s="8" customFormat="1" x14ac:dyDescent="0.2">
      <c r="A73" s="10">
        <v>15207</v>
      </c>
      <c r="B73" s="11">
        <v>41982</v>
      </c>
      <c r="C73" s="12">
        <v>547.75</v>
      </c>
      <c r="D73" s="12">
        <v>41.75</v>
      </c>
      <c r="E73" s="15" t="s">
        <v>7</v>
      </c>
      <c r="F73" s="20">
        <f>+C67+C69+C70+C58+150+54.65</f>
        <v>1056.04</v>
      </c>
      <c r="G73" s="20">
        <v>1045.1400000000001</v>
      </c>
      <c r="H73" s="16"/>
      <c r="I73" s="16"/>
    </row>
    <row r="74" spans="1:9" s="8" customFormat="1" x14ac:dyDescent="0.2">
      <c r="A74" s="10">
        <v>15208</v>
      </c>
      <c r="B74" s="11">
        <v>41983</v>
      </c>
      <c r="C74" s="12">
        <v>15</v>
      </c>
      <c r="D74" s="12">
        <v>1.1399999999999999</v>
      </c>
      <c r="E74" s="17"/>
      <c r="H74" s="14"/>
      <c r="I74" s="16"/>
    </row>
    <row r="75" spans="1:9" s="8" customFormat="1" x14ac:dyDescent="0.2">
      <c r="A75" s="10">
        <v>15209</v>
      </c>
      <c r="B75" s="11">
        <v>41983</v>
      </c>
      <c r="C75" s="12">
        <v>7.5200000000000005</v>
      </c>
      <c r="D75" s="12">
        <v>0.56999999999999995</v>
      </c>
      <c r="E75" s="17"/>
      <c r="F75" s="18"/>
      <c r="G75" s="19"/>
      <c r="H75" s="14"/>
      <c r="I75" s="16"/>
    </row>
    <row r="76" spans="1:9" s="8" customFormat="1" x14ac:dyDescent="0.2">
      <c r="A76" s="10">
        <v>15210</v>
      </c>
      <c r="B76" s="11">
        <v>41983</v>
      </c>
      <c r="C76" s="12">
        <v>2</v>
      </c>
      <c r="D76" s="12"/>
      <c r="E76" s="13" t="s">
        <v>24</v>
      </c>
      <c r="H76" s="14"/>
      <c r="I76" s="16"/>
    </row>
    <row r="77" spans="1:9" s="8" customFormat="1" x14ac:dyDescent="0.2">
      <c r="A77" s="10">
        <v>15211</v>
      </c>
      <c r="B77" s="11">
        <v>41983</v>
      </c>
      <c r="C77" s="12">
        <v>174</v>
      </c>
      <c r="D77" s="12"/>
      <c r="E77" s="15" t="s">
        <v>25</v>
      </c>
      <c r="H77" s="16"/>
      <c r="I77" s="16"/>
    </row>
    <row r="78" spans="1:9" s="8" customFormat="1" x14ac:dyDescent="0.2">
      <c r="A78" s="10">
        <v>15212</v>
      </c>
      <c r="B78" s="11">
        <v>41983</v>
      </c>
      <c r="C78" s="12">
        <v>227.76</v>
      </c>
      <c r="D78" s="12">
        <v>17.36</v>
      </c>
      <c r="E78" s="15" t="s">
        <v>26</v>
      </c>
      <c r="H78" s="16"/>
      <c r="I78" s="16"/>
    </row>
    <row r="79" spans="1:9" s="8" customFormat="1" x14ac:dyDescent="0.2">
      <c r="A79" s="10">
        <v>15213</v>
      </c>
      <c r="B79" s="11">
        <v>41983</v>
      </c>
      <c r="C79" s="12">
        <v>80</v>
      </c>
      <c r="D79" s="12"/>
      <c r="E79" s="13" t="s">
        <v>8</v>
      </c>
      <c r="F79" s="18"/>
      <c r="G79" s="19"/>
      <c r="H79" s="14"/>
      <c r="I79" s="16"/>
    </row>
    <row r="80" spans="1:9" s="8" customFormat="1" x14ac:dyDescent="0.2">
      <c r="A80" s="10">
        <v>15214</v>
      </c>
      <c r="B80" s="11">
        <v>41983</v>
      </c>
      <c r="C80" s="12">
        <v>216.5</v>
      </c>
      <c r="D80" s="12">
        <v>16.5</v>
      </c>
      <c r="E80" s="13" t="s">
        <v>27</v>
      </c>
      <c r="H80" s="14"/>
      <c r="I80" s="16"/>
    </row>
    <row r="81" spans="1:9" s="8" customFormat="1" x14ac:dyDescent="0.2">
      <c r="A81" s="10">
        <v>15215</v>
      </c>
      <c r="B81" s="11">
        <v>41983</v>
      </c>
      <c r="C81" s="12">
        <v>2.7</v>
      </c>
      <c r="D81" s="12">
        <v>0.21</v>
      </c>
      <c r="E81" s="17"/>
      <c r="F81" s="18"/>
      <c r="G81" s="19"/>
      <c r="H81" s="14"/>
      <c r="I81" s="16"/>
    </row>
    <row r="82" spans="1:9" s="8" customFormat="1" x14ac:dyDescent="0.2">
      <c r="A82" s="10">
        <v>15216</v>
      </c>
      <c r="B82" s="11">
        <v>41983</v>
      </c>
      <c r="C82" s="12">
        <v>14.98</v>
      </c>
      <c r="D82" s="12">
        <v>1.1399999999999999</v>
      </c>
      <c r="E82" s="17"/>
      <c r="F82" s="20">
        <v>0</v>
      </c>
      <c r="G82" s="20">
        <f>+F82*0.97831</f>
        <v>0</v>
      </c>
      <c r="H82" s="14"/>
      <c r="I82" s="16"/>
    </row>
    <row r="83" spans="1:9" s="8" customFormat="1" x14ac:dyDescent="0.2">
      <c r="A83" s="10">
        <v>15217</v>
      </c>
      <c r="B83" s="11">
        <v>41984</v>
      </c>
      <c r="C83" s="12">
        <v>334.49</v>
      </c>
      <c r="D83" s="12">
        <v>25.49</v>
      </c>
      <c r="E83" s="13" t="s">
        <v>28</v>
      </c>
      <c r="H83" s="14"/>
      <c r="I83" s="16"/>
    </row>
    <row r="84" spans="1:9" s="8" customFormat="1" x14ac:dyDescent="0.2">
      <c r="A84" s="10">
        <v>15218</v>
      </c>
      <c r="B84" s="11">
        <v>41984</v>
      </c>
      <c r="C84" s="12">
        <v>3.79</v>
      </c>
      <c r="D84" s="12">
        <v>0.28999999999999998</v>
      </c>
      <c r="E84" s="17"/>
      <c r="F84" s="18"/>
      <c r="G84" s="19"/>
      <c r="H84" s="14"/>
      <c r="I84" s="16"/>
    </row>
    <row r="85" spans="1:9" s="8" customFormat="1" x14ac:dyDescent="0.2">
      <c r="A85" s="10">
        <v>15219</v>
      </c>
      <c r="B85" s="11">
        <v>41984</v>
      </c>
      <c r="C85" s="12">
        <v>14.07</v>
      </c>
      <c r="D85" s="12">
        <v>1.07</v>
      </c>
      <c r="E85" s="17"/>
      <c r="F85" s="18"/>
      <c r="G85" s="19"/>
      <c r="H85" s="14"/>
      <c r="I85" s="16"/>
    </row>
    <row r="86" spans="1:9" s="8" customFormat="1" x14ac:dyDescent="0.2">
      <c r="A86" s="10">
        <v>15220</v>
      </c>
      <c r="B86" s="11">
        <v>41984</v>
      </c>
      <c r="C86" s="12">
        <v>36.81</v>
      </c>
      <c r="D86" s="12">
        <v>2.81</v>
      </c>
      <c r="E86" s="15" t="s">
        <v>11</v>
      </c>
      <c r="F86" s="21"/>
      <c r="G86" s="22"/>
      <c r="H86" s="16"/>
      <c r="I86" s="16"/>
    </row>
    <row r="87" spans="1:9" s="8" customFormat="1" x14ac:dyDescent="0.2">
      <c r="A87" s="10">
        <v>15221</v>
      </c>
      <c r="B87" s="11">
        <v>41984</v>
      </c>
      <c r="C87" s="12">
        <v>8</v>
      </c>
      <c r="D87" s="12">
        <v>0.61</v>
      </c>
      <c r="E87" s="17"/>
      <c r="H87" s="14"/>
      <c r="I87" s="16"/>
    </row>
    <row r="88" spans="1:9" s="8" customFormat="1" x14ac:dyDescent="0.2">
      <c r="A88" s="10">
        <v>15222</v>
      </c>
      <c r="B88" s="11">
        <v>41984</v>
      </c>
      <c r="C88" s="12">
        <v>11.91</v>
      </c>
      <c r="D88" s="12">
        <v>0.91</v>
      </c>
      <c r="E88" s="17"/>
      <c r="H88" s="14"/>
      <c r="I88" s="16"/>
    </row>
    <row r="89" spans="1:9" s="8" customFormat="1" x14ac:dyDescent="0.2">
      <c r="A89" s="10">
        <v>15223</v>
      </c>
      <c r="B89" s="11">
        <v>41984</v>
      </c>
      <c r="C89" s="12">
        <v>37.89</v>
      </c>
      <c r="D89" s="12">
        <v>2.89</v>
      </c>
      <c r="E89" s="17"/>
      <c r="F89" s="20">
        <f>+C86</f>
        <v>36.81</v>
      </c>
      <c r="G89" s="20">
        <v>35.950000000000003</v>
      </c>
      <c r="H89" s="14"/>
      <c r="I89" s="16"/>
    </row>
    <row r="90" spans="1:9" s="8" customFormat="1" x14ac:dyDescent="0.2">
      <c r="A90" s="10">
        <v>15224</v>
      </c>
      <c r="B90" s="11">
        <v>41985</v>
      </c>
      <c r="C90" s="12">
        <v>148.30000000000001</v>
      </c>
      <c r="D90" s="12">
        <v>11.3</v>
      </c>
      <c r="E90" s="13" t="s">
        <v>29</v>
      </c>
      <c r="H90" s="14"/>
      <c r="I90" s="16"/>
    </row>
    <row r="91" spans="1:9" s="8" customFormat="1" x14ac:dyDescent="0.2">
      <c r="A91" s="10">
        <v>15225</v>
      </c>
      <c r="B91" s="11">
        <v>41985</v>
      </c>
      <c r="C91" s="12">
        <v>99.48</v>
      </c>
      <c r="D91" s="12">
        <v>7.58</v>
      </c>
      <c r="E91" s="17"/>
      <c r="H91" s="14"/>
      <c r="I91" s="16"/>
    </row>
    <row r="92" spans="1:9" s="8" customFormat="1" x14ac:dyDescent="0.2">
      <c r="A92" s="10">
        <v>15226</v>
      </c>
      <c r="B92" s="11">
        <v>41985</v>
      </c>
      <c r="C92" s="12">
        <v>439.5</v>
      </c>
      <c r="D92" s="12">
        <v>33.5</v>
      </c>
      <c r="E92" s="15" t="s">
        <v>26</v>
      </c>
      <c r="F92" s="21"/>
      <c r="G92" s="22"/>
      <c r="H92" s="16"/>
      <c r="I92" s="16"/>
    </row>
    <row r="93" spans="1:9" s="8" customFormat="1" x14ac:dyDescent="0.2">
      <c r="A93" s="10">
        <v>15227</v>
      </c>
      <c r="B93" s="11">
        <v>41985</v>
      </c>
      <c r="C93" s="12">
        <v>408.09000000000003</v>
      </c>
      <c r="D93" s="12">
        <v>31.1</v>
      </c>
      <c r="E93" s="15" t="s">
        <v>7</v>
      </c>
      <c r="F93" s="21"/>
      <c r="G93" s="22"/>
      <c r="H93" s="16"/>
      <c r="I93" s="16"/>
    </row>
    <row r="94" spans="1:9" s="8" customFormat="1" x14ac:dyDescent="0.2">
      <c r="A94" s="10">
        <v>15228</v>
      </c>
      <c r="B94" s="11">
        <v>41985</v>
      </c>
      <c r="C94" s="12">
        <v>16.18</v>
      </c>
      <c r="D94" s="12">
        <v>1.23</v>
      </c>
      <c r="E94" s="15" t="s">
        <v>11</v>
      </c>
      <c r="H94" s="16"/>
      <c r="I94" s="16"/>
    </row>
    <row r="95" spans="1:9" s="8" customFormat="1" x14ac:dyDescent="0.2">
      <c r="A95" s="10">
        <v>15229</v>
      </c>
      <c r="B95" s="11">
        <v>41985</v>
      </c>
      <c r="C95" s="12">
        <v>43.3</v>
      </c>
      <c r="D95" s="12">
        <v>3.3</v>
      </c>
      <c r="E95" s="15" t="s">
        <v>7</v>
      </c>
      <c r="F95" s="20">
        <f>100+C94+C95+397.75</f>
        <v>557.23</v>
      </c>
      <c r="G95" s="20">
        <v>553.77</v>
      </c>
      <c r="H95" s="16"/>
      <c r="I95" s="16"/>
    </row>
    <row r="96" spans="1:9" s="8" customFormat="1" x14ac:dyDescent="0.2">
      <c r="A96" s="10">
        <v>15230</v>
      </c>
      <c r="B96" s="11">
        <v>41986</v>
      </c>
      <c r="C96" s="12">
        <v>178</v>
      </c>
      <c r="D96" s="12"/>
      <c r="E96" s="13" t="s">
        <v>24</v>
      </c>
      <c r="H96" s="14"/>
      <c r="I96" s="16"/>
    </row>
    <row r="97" spans="1:9" s="8" customFormat="1" x14ac:dyDescent="0.2">
      <c r="A97" s="10">
        <v>15231</v>
      </c>
      <c r="B97" s="11">
        <v>41986</v>
      </c>
      <c r="C97" s="12">
        <v>128.82</v>
      </c>
      <c r="D97" s="12">
        <v>9.82</v>
      </c>
      <c r="E97" s="15" t="s">
        <v>11</v>
      </c>
      <c r="H97" s="16"/>
      <c r="I97" s="16"/>
    </row>
    <row r="98" spans="1:9" s="8" customFormat="1" x14ac:dyDescent="0.2">
      <c r="A98" s="10">
        <v>15232</v>
      </c>
      <c r="B98" s="11">
        <v>41986</v>
      </c>
      <c r="C98" s="12">
        <v>21.65</v>
      </c>
      <c r="D98" s="12">
        <v>1.65</v>
      </c>
      <c r="E98" s="15" t="s">
        <v>7</v>
      </c>
      <c r="F98" s="21"/>
      <c r="G98" s="22"/>
      <c r="H98" s="16"/>
      <c r="I98" s="16"/>
    </row>
    <row r="99" spans="1:9" s="8" customFormat="1" x14ac:dyDescent="0.2">
      <c r="A99" s="10">
        <v>15233</v>
      </c>
      <c r="B99" s="11">
        <v>41986</v>
      </c>
      <c r="C99" s="12">
        <v>24.18</v>
      </c>
      <c r="D99" s="12">
        <v>0.7</v>
      </c>
      <c r="E99" s="15" t="s">
        <v>11</v>
      </c>
      <c r="H99" s="16"/>
      <c r="I99" s="16"/>
    </row>
    <row r="100" spans="1:9" s="8" customFormat="1" x14ac:dyDescent="0.2">
      <c r="A100" s="10">
        <v>15234</v>
      </c>
      <c r="B100" s="11">
        <v>41986</v>
      </c>
      <c r="C100" s="12">
        <v>89.85</v>
      </c>
      <c r="D100" s="12">
        <v>6.85</v>
      </c>
      <c r="E100" s="17"/>
      <c r="F100" s="18"/>
      <c r="G100" s="19"/>
      <c r="H100" s="14"/>
      <c r="I100" s="16"/>
    </row>
    <row r="101" spans="1:9" s="8" customFormat="1" x14ac:dyDescent="0.2">
      <c r="A101" s="10">
        <v>15235</v>
      </c>
      <c r="B101" s="11">
        <v>41986</v>
      </c>
      <c r="C101" s="12">
        <v>398.2</v>
      </c>
      <c r="D101" s="12">
        <v>30.35</v>
      </c>
      <c r="E101" s="17"/>
      <c r="H101" s="14"/>
      <c r="I101" s="16"/>
    </row>
    <row r="102" spans="1:9" s="8" customFormat="1" x14ac:dyDescent="0.2">
      <c r="A102" s="10">
        <v>15236</v>
      </c>
      <c r="B102" s="11">
        <v>41986</v>
      </c>
      <c r="C102" s="12">
        <v>64.95</v>
      </c>
      <c r="D102" s="12">
        <v>4.95</v>
      </c>
      <c r="E102" s="15" t="s">
        <v>7</v>
      </c>
      <c r="F102" s="16"/>
      <c r="G102" s="16"/>
      <c r="H102" s="16"/>
      <c r="I102" s="16"/>
    </row>
    <row r="103" spans="1:9" s="8" customFormat="1" x14ac:dyDescent="0.2">
      <c r="A103" s="10">
        <v>15237</v>
      </c>
      <c r="B103" s="11">
        <v>41986</v>
      </c>
      <c r="C103" s="12">
        <v>63.87</v>
      </c>
      <c r="D103" s="12">
        <v>4.87</v>
      </c>
      <c r="E103" s="15" t="s">
        <v>11</v>
      </c>
      <c r="F103" s="16"/>
      <c r="G103" s="16"/>
      <c r="H103" s="16"/>
      <c r="I103" s="16"/>
    </row>
    <row r="104" spans="1:9" s="8" customFormat="1" x14ac:dyDescent="0.2">
      <c r="A104" s="10">
        <v>15238</v>
      </c>
      <c r="B104" s="11">
        <v>41986</v>
      </c>
      <c r="C104" s="12">
        <v>28</v>
      </c>
      <c r="D104" s="12">
        <v>2.13</v>
      </c>
      <c r="E104" s="15" t="s">
        <v>7</v>
      </c>
      <c r="F104" s="16"/>
      <c r="G104" s="16"/>
      <c r="H104" s="16"/>
      <c r="I104" s="16"/>
    </row>
    <row r="105" spans="1:9" s="8" customFormat="1" x14ac:dyDescent="0.2">
      <c r="A105" s="10">
        <v>15239</v>
      </c>
      <c r="B105" s="11">
        <v>41986</v>
      </c>
      <c r="C105" s="12">
        <v>24.9</v>
      </c>
      <c r="D105" s="12">
        <v>1.9</v>
      </c>
      <c r="E105" s="13"/>
      <c r="F105" s="14"/>
      <c r="G105" s="14"/>
      <c r="H105" s="14"/>
      <c r="I105" s="16"/>
    </row>
    <row r="106" spans="1:9" s="8" customFormat="1" x14ac:dyDescent="0.2">
      <c r="A106" s="10">
        <v>15240</v>
      </c>
      <c r="B106" s="11">
        <v>41986</v>
      </c>
      <c r="C106" s="12">
        <v>130.44</v>
      </c>
      <c r="D106" s="12">
        <v>9.94</v>
      </c>
      <c r="E106" s="15" t="s">
        <v>7</v>
      </c>
      <c r="H106" s="16"/>
      <c r="I106" s="16"/>
    </row>
    <row r="107" spans="1:9" s="8" customFormat="1" x14ac:dyDescent="0.2">
      <c r="A107" s="10">
        <v>15241</v>
      </c>
      <c r="B107" s="11">
        <v>41986</v>
      </c>
      <c r="C107" s="12">
        <v>210.01</v>
      </c>
      <c r="D107" s="12">
        <v>16.010000000000002</v>
      </c>
      <c r="E107" s="17"/>
      <c r="H107" s="14"/>
      <c r="I107" s="16"/>
    </row>
    <row r="108" spans="1:9" s="8" customFormat="1" x14ac:dyDescent="0.2">
      <c r="A108" s="10">
        <v>15242</v>
      </c>
      <c r="B108" s="11">
        <v>41986</v>
      </c>
      <c r="C108" s="12">
        <v>395.11</v>
      </c>
      <c r="D108" s="12">
        <v>30.11</v>
      </c>
      <c r="E108" s="15" t="s">
        <v>11</v>
      </c>
      <c r="F108" s="21"/>
      <c r="G108" s="22"/>
      <c r="H108" s="16"/>
      <c r="I108" s="16"/>
    </row>
    <row r="109" spans="1:9" s="8" customFormat="1" x14ac:dyDescent="0.2">
      <c r="A109" s="10">
        <v>15243</v>
      </c>
      <c r="B109" s="11">
        <v>41986</v>
      </c>
      <c r="C109" s="12">
        <v>552.08000000000004</v>
      </c>
      <c r="D109" s="12">
        <v>42.08</v>
      </c>
      <c r="E109" s="15" t="s">
        <v>30</v>
      </c>
      <c r="F109" s="21"/>
      <c r="G109" s="22"/>
      <c r="H109" s="16"/>
      <c r="I109" s="16"/>
    </row>
    <row r="110" spans="1:9" s="8" customFormat="1" x14ac:dyDescent="0.2">
      <c r="A110" s="10">
        <v>15244</v>
      </c>
      <c r="B110" s="11">
        <v>41986</v>
      </c>
      <c r="C110" s="12">
        <v>7.5200000000000005</v>
      </c>
      <c r="D110" s="12">
        <v>0.56999999999999995</v>
      </c>
      <c r="E110" s="17"/>
      <c r="F110" s="20">
        <f>+C97+C99+308.09+C102+C103+C104+C108+270+C106+15.15</f>
        <v>1428.6100000000001</v>
      </c>
      <c r="G110" s="20">
        <v>1410.56</v>
      </c>
      <c r="H110" s="14"/>
      <c r="I110" s="16"/>
    </row>
    <row r="111" spans="1:9" s="8" customFormat="1" x14ac:dyDescent="0.2">
      <c r="A111" s="10">
        <v>15245</v>
      </c>
      <c r="B111" s="11">
        <v>41988</v>
      </c>
      <c r="C111" s="12">
        <v>197</v>
      </c>
      <c r="D111" s="12">
        <v>15.01</v>
      </c>
      <c r="E111" s="17"/>
      <c r="H111" s="14"/>
      <c r="I111" s="16"/>
    </row>
    <row r="112" spans="1:9" s="8" customFormat="1" x14ac:dyDescent="0.2">
      <c r="A112" s="10">
        <v>15246</v>
      </c>
      <c r="B112" s="11">
        <v>41988</v>
      </c>
      <c r="C112" s="12">
        <v>115</v>
      </c>
      <c r="D112" s="12"/>
      <c r="E112" s="15" t="s">
        <v>17</v>
      </c>
      <c r="F112" s="21"/>
      <c r="G112" s="22"/>
      <c r="H112" s="16"/>
      <c r="I112" s="16"/>
    </row>
    <row r="113" spans="1:9" s="8" customFormat="1" x14ac:dyDescent="0.2">
      <c r="A113" s="10">
        <v>15247</v>
      </c>
      <c r="B113" s="11">
        <v>41988</v>
      </c>
      <c r="C113" s="12">
        <v>8.61</v>
      </c>
      <c r="D113" s="12">
        <v>0.66</v>
      </c>
      <c r="E113" s="15" t="s">
        <v>11</v>
      </c>
      <c r="F113" s="21"/>
      <c r="G113" s="22"/>
      <c r="H113" s="16"/>
      <c r="I113" s="16"/>
    </row>
    <row r="114" spans="1:9" s="8" customFormat="1" x14ac:dyDescent="0.2">
      <c r="A114" s="10">
        <v>15248</v>
      </c>
      <c r="B114" s="11">
        <v>41988</v>
      </c>
      <c r="C114" s="12">
        <v>212.71</v>
      </c>
      <c r="D114" s="12">
        <v>16.21</v>
      </c>
      <c r="E114" s="15" t="s">
        <v>11</v>
      </c>
      <c r="H114" s="16"/>
      <c r="I114" s="16"/>
    </row>
    <row r="115" spans="1:9" s="8" customFormat="1" x14ac:dyDescent="0.2">
      <c r="A115" s="10">
        <v>15249</v>
      </c>
      <c r="B115" s="11">
        <v>41988</v>
      </c>
      <c r="C115" s="12">
        <v>16.239999999999998</v>
      </c>
      <c r="D115" s="12">
        <v>1.24</v>
      </c>
      <c r="E115" s="17"/>
      <c r="F115" s="18"/>
      <c r="G115" s="19"/>
      <c r="H115" s="14"/>
      <c r="I115" s="16"/>
    </row>
    <row r="116" spans="1:9" s="8" customFormat="1" x14ac:dyDescent="0.2">
      <c r="A116" s="10">
        <v>15250</v>
      </c>
      <c r="B116" s="11">
        <v>41988</v>
      </c>
      <c r="C116" s="12">
        <v>27.06</v>
      </c>
      <c r="D116" s="12">
        <v>2.06</v>
      </c>
      <c r="E116" s="15" t="s">
        <v>11</v>
      </c>
      <c r="H116" s="16"/>
      <c r="I116" s="16"/>
    </row>
    <row r="117" spans="1:9" s="8" customFormat="1" x14ac:dyDescent="0.2">
      <c r="A117" s="10">
        <v>15251</v>
      </c>
      <c r="B117" s="11">
        <v>41988</v>
      </c>
      <c r="C117" s="12">
        <v>483.61</v>
      </c>
      <c r="D117" s="12">
        <v>36.86</v>
      </c>
      <c r="E117" s="15" t="s">
        <v>31</v>
      </c>
      <c r="H117" s="16"/>
      <c r="I117" s="16"/>
    </row>
    <row r="118" spans="1:9" s="8" customFormat="1" x14ac:dyDescent="0.2">
      <c r="A118" s="10">
        <v>15252</v>
      </c>
      <c r="B118" s="11">
        <v>41988</v>
      </c>
      <c r="C118" s="12">
        <v>35.450000000000003</v>
      </c>
      <c r="D118" s="12">
        <v>2.7</v>
      </c>
      <c r="E118" s="15" t="s">
        <v>11</v>
      </c>
      <c r="H118" s="16"/>
      <c r="I118" s="16"/>
    </row>
    <row r="119" spans="1:9" s="8" customFormat="1" x14ac:dyDescent="0.2">
      <c r="A119" s="10">
        <v>15253</v>
      </c>
      <c r="B119" s="11">
        <v>41988</v>
      </c>
      <c r="C119" s="12">
        <v>14.02</v>
      </c>
      <c r="D119" s="12">
        <v>1.07</v>
      </c>
      <c r="E119" s="17"/>
      <c r="H119" s="14"/>
      <c r="I119" s="16"/>
    </row>
    <row r="120" spans="1:9" s="8" customFormat="1" x14ac:dyDescent="0.2">
      <c r="A120" s="10">
        <v>15254</v>
      </c>
      <c r="B120" s="11">
        <v>41988</v>
      </c>
      <c r="C120" s="12">
        <v>64.900000000000006</v>
      </c>
      <c r="D120" s="12">
        <v>4.95</v>
      </c>
      <c r="E120" s="15" t="s">
        <v>32</v>
      </c>
      <c r="H120" s="16"/>
      <c r="I120" s="16"/>
    </row>
    <row r="121" spans="1:9" s="8" customFormat="1" x14ac:dyDescent="0.2">
      <c r="A121" s="10">
        <v>15255</v>
      </c>
      <c r="B121" s="11">
        <v>41988</v>
      </c>
      <c r="C121" s="12">
        <v>12.88</v>
      </c>
      <c r="D121" s="12">
        <v>0.98</v>
      </c>
      <c r="E121" s="17"/>
      <c r="H121" s="14"/>
      <c r="I121" s="16"/>
    </row>
    <row r="122" spans="1:9" s="8" customFormat="1" x14ac:dyDescent="0.2">
      <c r="A122" s="10">
        <v>15256</v>
      </c>
      <c r="B122" s="11">
        <v>41988</v>
      </c>
      <c r="C122" s="12">
        <v>300</v>
      </c>
      <c r="D122" s="12"/>
      <c r="E122" s="15" t="s">
        <v>33</v>
      </c>
      <c r="F122" s="20">
        <f>21.65+C113+C114+C116+C118+C112+239+C122</f>
        <v>959.48</v>
      </c>
      <c r="G122" s="20">
        <v>943.9</v>
      </c>
      <c r="H122" s="16"/>
      <c r="I122" s="16"/>
    </row>
    <row r="123" spans="1:9" s="8" customFormat="1" x14ac:dyDescent="0.2">
      <c r="A123" s="10">
        <v>15257</v>
      </c>
      <c r="B123" s="11">
        <v>41989</v>
      </c>
      <c r="C123" s="12">
        <v>29.23</v>
      </c>
      <c r="D123" s="12">
        <v>2.23</v>
      </c>
      <c r="E123" s="17"/>
      <c r="F123" s="18"/>
      <c r="G123" s="19"/>
      <c r="H123" s="14"/>
      <c r="I123" s="16"/>
    </row>
    <row r="124" spans="1:9" s="8" customFormat="1" x14ac:dyDescent="0.2">
      <c r="A124" s="10">
        <v>15258</v>
      </c>
      <c r="B124" s="11">
        <v>41989</v>
      </c>
      <c r="C124" s="12">
        <v>50.82</v>
      </c>
      <c r="D124" s="12">
        <v>3.87</v>
      </c>
      <c r="E124" s="15" t="s">
        <v>11</v>
      </c>
      <c r="F124" s="21"/>
      <c r="G124" s="22"/>
      <c r="H124" s="16"/>
      <c r="I124" s="16"/>
    </row>
    <row r="125" spans="1:9" s="8" customFormat="1" x14ac:dyDescent="0.2">
      <c r="A125" s="10">
        <v>15259</v>
      </c>
      <c r="B125" s="11">
        <v>41989</v>
      </c>
      <c r="C125" s="12">
        <v>11</v>
      </c>
      <c r="D125" s="12">
        <v>0.84</v>
      </c>
      <c r="E125" s="17"/>
      <c r="H125" s="14"/>
      <c r="I125" s="16"/>
    </row>
    <row r="126" spans="1:9" s="8" customFormat="1" x14ac:dyDescent="0.2">
      <c r="A126" s="10">
        <v>15260</v>
      </c>
      <c r="B126" s="11">
        <v>41989</v>
      </c>
      <c r="C126" s="12">
        <v>29.23</v>
      </c>
      <c r="D126" s="12">
        <v>2.23</v>
      </c>
      <c r="E126" s="17"/>
      <c r="F126" s="18"/>
      <c r="G126" s="19"/>
      <c r="H126" s="14"/>
      <c r="I126" s="16"/>
    </row>
    <row r="127" spans="1:9" s="8" customFormat="1" x14ac:dyDescent="0.2">
      <c r="A127" s="10">
        <v>15261</v>
      </c>
      <c r="B127" s="11">
        <v>41989</v>
      </c>
      <c r="C127" s="12">
        <v>18.399999999999999</v>
      </c>
      <c r="D127" s="12">
        <v>1.4</v>
      </c>
      <c r="E127" s="17"/>
      <c r="H127" s="14"/>
      <c r="I127" s="16"/>
    </row>
    <row r="128" spans="1:9" s="8" customFormat="1" x14ac:dyDescent="0.2">
      <c r="A128" s="10">
        <v>15262</v>
      </c>
      <c r="B128" s="11">
        <v>41989</v>
      </c>
      <c r="C128" s="12">
        <v>160</v>
      </c>
      <c r="D128" s="12"/>
      <c r="E128" s="15" t="s">
        <v>9</v>
      </c>
      <c r="H128" s="16"/>
      <c r="I128" s="16"/>
    </row>
    <row r="129" spans="1:9" s="8" customFormat="1" x14ac:dyDescent="0.2">
      <c r="A129" s="10">
        <v>15263</v>
      </c>
      <c r="B129" s="11">
        <v>41989</v>
      </c>
      <c r="C129" s="12">
        <v>64.95</v>
      </c>
      <c r="D129" s="12">
        <v>4.95</v>
      </c>
      <c r="E129" s="15"/>
      <c r="H129" s="16"/>
      <c r="I129" s="16"/>
    </row>
    <row r="130" spans="1:9" s="8" customFormat="1" x14ac:dyDescent="0.2">
      <c r="A130" s="10">
        <v>15264</v>
      </c>
      <c r="B130" s="11">
        <v>41989</v>
      </c>
      <c r="C130" s="12">
        <v>109</v>
      </c>
      <c r="D130" s="12">
        <v>8.31</v>
      </c>
      <c r="E130" s="15" t="s">
        <v>11</v>
      </c>
      <c r="H130" s="16"/>
      <c r="I130" s="16"/>
    </row>
    <row r="131" spans="1:9" s="8" customFormat="1" x14ac:dyDescent="0.2">
      <c r="A131" s="10">
        <v>15265</v>
      </c>
      <c r="B131" s="11">
        <v>41989</v>
      </c>
      <c r="C131" s="12">
        <v>598.93000000000006</v>
      </c>
      <c r="D131" s="12">
        <v>88.67</v>
      </c>
      <c r="E131" s="15" t="s">
        <v>21</v>
      </c>
      <c r="H131" s="16"/>
      <c r="I131" s="16"/>
    </row>
    <row r="132" spans="1:9" s="8" customFormat="1" x14ac:dyDescent="0.2">
      <c r="A132" s="10">
        <v>15266</v>
      </c>
      <c r="B132" s="11">
        <v>41989</v>
      </c>
      <c r="C132" s="12">
        <v>39.589999999999996</v>
      </c>
      <c r="D132" s="12"/>
      <c r="E132" s="17"/>
      <c r="F132" s="20">
        <f>+C124+C128+C130</f>
        <v>319.82</v>
      </c>
      <c r="G132" s="20">
        <v>314.36</v>
      </c>
      <c r="H132" s="14"/>
      <c r="I132" s="16"/>
    </row>
    <row r="133" spans="1:9" s="8" customFormat="1" x14ac:dyDescent="0.2">
      <c r="A133" s="10">
        <v>15267</v>
      </c>
      <c r="B133" s="11">
        <v>41990</v>
      </c>
      <c r="C133" s="12">
        <v>212.17000000000002</v>
      </c>
      <c r="D133" s="12">
        <v>16.170000000000002</v>
      </c>
      <c r="E133" s="17"/>
      <c r="F133" s="18"/>
      <c r="G133" s="19"/>
      <c r="H133" s="14"/>
      <c r="I133" s="16"/>
    </row>
    <row r="134" spans="1:9" s="8" customFormat="1" x14ac:dyDescent="0.2">
      <c r="A134" s="10">
        <v>15268</v>
      </c>
      <c r="B134" s="11">
        <v>41990</v>
      </c>
      <c r="C134" s="12">
        <v>21.65</v>
      </c>
      <c r="D134" s="12">
        <v>1.65</v>
      </c>
      <c r="E134" s="15" t="s">
        <v>11</v>
      </c>
      <c r="H134" s="16"/>
      <c r="I134" s="16"/>
    </row>
    <row r="135" spans="1:9" s="8" customFormat="1" x14ac:dyDescent="0.2">
      <c r="A135" s="10">
        <v>15269</v>
      </c>
      <c r="B135" s="11">
        <v>41990</v>
      </c>
      <c r="C135" s="12">
        <v>43.3</v>
      </c>
      <c r="D135" s="12">
        <v>3.3</v>
      </c>
      <c r="E135" s="17"/>
      <c r="F135" s="18"/>
      <c r="G135" s="19"/>
      <c r="H135" s="14"/>
      <c r="I135" s="16"/>
    </row>
    <row r="136" spans="1:9" s="8" customFormat="1" x14ac:dyDescent="0.2">
      <c r="A136" s="10">
        <v>15270</v>
      </c>
      <c r="B136" s="11">
        <v>41990</v>
      </c>
      <c r="C136" s="12">
        <v>-45.47</v>
      </c>
      <c r="D136" s="12">
        <v>-3.47</v>
      </c>
      <c r="E136" s="17"/>
      <c r="F136" s="18"/>
      <c r="G136" s="19"/>
      <c r="H136" s="14"/>
      <c r="I136" s="16"/>
    </row>
    <row r="137" spans="1:9" s="8" customFormat="1" x14ac:dyDescent="0.2">
      <c r="A137" s="10">
        <v>15271</v>
      </c>
      <c r="B137" s="11">
        <v>41990</v>
      </c>
      <c r="C137" s="12">
        <v>7.5200000000000005</v>
      </c>
      <c r="D137" s="12">
        <v>0.56999999999999995</v>
      </c>
      <c r="E137" s="17"/>
      <c r="H137" s="14"/>
      <c r="I137" s="16"/>
    </row>
    <row r="138" spans="1:9" s="8" customFormat="1" x14ac:dyDescent="0.2">
      <c r="A138" s="10">
        <v>15272</v>
      </c>
      <c r="B138" s="11">
        <v>41990</v>
      </c>
      <c r="C138" s="12">
        <v>215.42000000000002</v>
      </c>
      <c r="D138" s="12">
        <v>16.420000000000002</v>
      </c>
      <c r="E138" s="17"/>
      <c r="F138" s="18"/>
      <c r="G138" s="19"/>
      <c r="H138" s="14"/>
      <c r="I138" s="16"/>
    </row>
    <row r="139" spans="1:9" s="8" customFormat="1" x14ac:dyDescent="0.2">
      <c r="A139" s="10">
        <v>15273</v>
      </c>
      <c r="B139" s="11">
        <v>41990</v>
      </c>
      <c r="C139" s="12">
        <v>34.040000000000006</v>
      </c>
      <c r="D139" s="12">
        <v>2.59</v>
      </c>
      <c r="E139" s="15" t="s">
        <v>11</v>
      </c>
      <c r="F139" s="21"/>
      <c r="G139" s="22"/>
      <c r="H139" s="16"/>
      <c r="I139" s="16"/>
    </row>
    <row r="140" spans="1:9" s="8" customFormat="1" x14ac:dyDescent="0.2">
      <c r="A140" s="10">
        <v>15274</v>
      </c>
      <c r="B140" s="11">
        <v>41990</v>
      </c>
      <c r="C140" s="12">
        <v>404.8</v>
      </c>
      <c r="D140" s="12">
        <v>30.85</v>
      </c>
      <c r="E140" s="15" t="s">
        <v>11</v>
      </c>
      <c r="F140" s="20">
        <f>+C134+233.61+340.17+C139+C140</f>
        <v>1034.27</v>
      </c>
      <c r="G140" s="20">
        <v>1023.2</v>
      </c>
      <c r="H140" s="16"/>
      <c r="I140" s="16"/>
    </row>
    <row r="141" spans="1:9" s="8" customFormat="1" x14ac:dyDescent="0.2">
      <c r="A141" s="10">
        <v>15275</v>
      </c>
      <c r="B141" s="11">
        <v>41991</v>
      </c>
      <c r="C141" s="12">
        <v>87.68</v>
      </c>
      <c r="D141" s="12">
        <v>6.68</v>
      </c>
      <c r="E141" s="15" t="s">
        <v>11</v>
      </c>
      <c r="F141" s="21"/>
      <c r="G141" s="22"/>
      <c r="H141" s="16"/>
      <c r="I141" s="16"/>
    </row>
    <row r="142" spans="1:9" s="8" customFormat="1" x14ac:dyDescent="0.2">
      <c r="A142" s="10">
        <v>15276</v>
      </c>
      <c r="B142" s="11">
        <v>41991</v>
      </c>
      <c r="C142" s="12">
        <v>219.54999999999998</v>
      </c>
      <c r="D142" s="12">
        <v>16.73</v>
      </c>
      <c r="E142" s="15" t="s">
        <v>11</v>
      </c>
      <c r="F142" s="21"/>
      <c r="G142" s="22"/>
      <c r="H142" s="16"/>
      <c r="I142" s="16"/>
    </row>
    <row r="143" spans="1:9" s="8" customFormat="1" x14ac:dyDescent="0.2">
      <c r="A143" s="10">
        <v>15277</v>
      </c>
      <c r="B143" s="11">
        <v>41991</v>
      </c>
      <c r="C143" s="12">
        <v>254.93</v>
      </c>
      <c r="D143" s="12">
        <v>19.43</v>
      </c>
      <c r="E143" s="15" t="s">
        <v>7</v>
      </c>
      <c r="H143" s="16"/>
      <c r="I143" s="16"/>
    </row>
    <row r="144" spans="1:9" s="8" customFormat="1" x14ac:dyDescent="0.2">
      <c r="A144" s="10">
        <v>15278</v>
      </c>
      <c r="B144" s="11">
        <v>41991</v>
      </c>
      <c r="C144" s="12">
        <v>166.71</v>
      </c>
      <c r="D144" s="12">
        <v>12.71</v>
      </c>
      <c r="E144" s="15" t="s">
        <v>11</v>
      </c>
      <c r="H144" s="16"/>
      <c r="I144" s="16"/>
    </row>
    <row r="145" spans="1:9" s="8" customFormat="1" x14ac:dyDescent="0.2">
      <c r="A145" s="10">
        <v>15279</v>
      </c>
      <c r="B145" s="11">
        <v>41991</v>
      </c>
      <c r="C145" s="12">
        <v>21.65</v>
      </c>
      <c r="D145" s="12">
        <v>1.65</v>
      </c>
      <c r="E145" s="15" t="s">
        <v>7</v>
      </c>
      <c r="H145" s="16"/>
      <c r="I145" s="16"/>
    </row>
    <row r="146" spans="1:9" s="8" customFormat="1" x14ac:dyDescent="0.2">
      <c r="A146" s="10">
        <v>15280</v>
      </c>
      <c r="B146" s="11">
        <v>41991</v>
      </c>
      <c r="C146" s="12">
        <v>32.309999999999995</v>
      </c>
      <c r="D146" s="12">
        <v>2.46</v>
      </c>
      <c r="E146" s="15" t="s">
        <v>7</v>
      </c>
      <c r="F146" s="21"/>
      <c r="G146" s="22"/>
      <c r="H146" s="16"/>
      <c r="I146" s="16"/>
    </row>
    <row r="147" spans="1:9" s="8" customFormat="1" x14ac:dyDescent="0.2">
      <c r="A147" s="10">
        <v>15281</v>
      </c>
      <c r="B147" s="11">
        <v>41991</v>
      </c>
      <c r="C147" s="12">
        <v>75.84</v>
      </c>
      <c r="D147" s="12">
        <v>5.78</v>
      </c>
      <c r="E147" s="15" t="s">
        <v>11</v>
      </c>
      <c r="H147" s="16"/>
      <c r="I147" s="16"/>
    </row>
    <row r="148" spans="1:9" s="8" customFormat="1" x14ac:dyDescent="0.2">
      <c r="A148" s="10">
        <v>15282</v>
      </c>
      <c r="B148" s="11">
        <v>41991</v>
      </c>
      <c r="C148" s="12">
        <v>47.63</v>
      </c>
      <c r="D148" s="12">
        <v>3.63</v>
      </c>
      <c r="E148" s="15" t="s">
        <v>11</v>
      </c>
      <c r="H148" s="16"/>
      <c r="I148" s="16"/>
    </row>
    <row r="149" spans="1:9" s="8" customFormat="1" x14ac:dyDescent="0.2">
      <c r="A149" s="10">
        <v>15283</v>
      </c>
      <c r="B149" s="11">
        <v>41991</v>
      </c>
      <c r="C149" s="12">
        <v>441.06</v>
      </c>
      <c r="D149" s="12">
        <v>33.61</v>
      </c>
      <c r="E149" s="15" t="s">
        <v>7</v>
      </c>
      <c r="H149" s="16"/>
      <c r="I149" s="16"/>
    </row>
    <row r="150" spans="1:9" s="8" customFormat="1" x14ac:dyDescent="0.2">
      <c r="A150" s="10">
        <v>15284</v>
      </c>
      <c r="B150" s="11">
        <v>41991</v>
      </c>
      <c r="C150" s="12">
        <v>579.14</v>
      </c>
      <c r="D150" s="12">
        <v>44.14</v>
      </c>
      <c r="E150" s="15" t="s">
        <v>34</v>
      </c>
      <c r="H150" s="16"/>
      <c r="I150" s="16"/>
    </row>
    <row r="151" spans="1:9" s="8" customFormat="1" x14ac:dyDescent="0.2">
      <c r="A151" s="10">
        <v>15285</v>
      </c>
      <c r="B151" s="11">
        <v>41991</v>
      </c>
      <c r="C151" s="12">
        <v>21.65</v>
      </c>
      <c r="D151" s="12">
        <v>1.65</v>
      </c>
      <c r="E151" s="15" t="s">
        <v>7</v>
      </c>
      <c r="H151" s="16"/>
      <c r="I151" s="16"/>
    </row>
    <row r="152" spans="1:9" s="8" customFormat="1" x14ac:dyDescent="0.2">
      <c r="A152" s="10">
        <v>15286</v>
      </c>
      <c r="B152" s="11">
        <v>41991</v>
      </c>
      <c r="C152" s="12">
        <v>267.27</v>
      </c>
      <c r="D152" s="12">
        <v>20.37</v>
      </c>
      <c r="E152" s="13" t="s">
        <v>35</v>
      </c>
      <c r="F152" s="20">
        <f>+C141+C142+C144+C146+C147+C148+C145+C143+C149+C151+282.08</f>
        <v>1651.09</v>
      </c>
      <c r="G152" s="20">
        <v>1617.32</v>
      </c>
      <c r="H152" s="14"/>
      <c r="I152" s="16"/>
    </row>
    <row r="153" spans="1:9" s="8" customFormat="1" x14ac:dyDescent="0.2">
      <c r="A153" s="10">
        <v>15287</v>
      </c>
      <c r="B153" s="11">
        <v>41992</v>
      </c>
      <c r="C153" s="12">
        <v>95.91</v>
      </c>
      <c r="D153" s="12">
        <v>7.31</v>
      </c>
      <c r="E153" s="15" t="s">
        <v>7</v>
      </c>
      <c r="H153" s="16"/>
      <c r="I153" s="16"/>
    </row>
    <row r="154" spans="1:9" s="8" customFormat="1" x14ac:dyDescent="0.2">
      <c r="A154" s="10">
        <v>15288</v>
      </c>
      <c r="B154" s="11">
        <v>41992</v>
      </c>
      <c r="C154" s="12">
        <v>11.85</v>
      </c>
      <c r="D154" s="12">
        <v>0.9</v>
      </c>
      <c r="E154" s="15" t="s">
        <v>11</v>
      </c>
      <c r="F154" s="21"/>
      <c r="G154" s="22"/>
      <c r="H154" s="16"/>
      <c r="I154" s="16"/>
    </row>
    <row r="155" spans="1:9" s="8" customFormat="1" x14ac:dyDescent="0.2">
      <c r="A155" s="10">
        <v>15289</v>
      </c>
      <c r="B155" s="11">
        <v>41992</v>
      </c>
      <c r="C155" s="12">
        <v>68.94</v>
      </c>
      <c r="D155" s="12"/>
      <c r="E155" s="13" t="s">
        <v>36</v>
      </c>
      <c r="H155" s="14"/>
      <c r="I155" s="16"/>
    </row>
    <row r="156" spans="1:9" s="8" customFormat="1" x14ac:dyDescent="0.2">
      <c r="A156" s="10">
        <v>15290</v>
      </c>
      <c r="B156" s="11">
        <v>41992</v>
      </c>
      <c r="C156" s="12">
        <v>129</v>
      </c>
      <c r="D156" s="12"/>
      <c r="E156" s="13" t="s">
        <v>8</v>
      </c>
      <c r="H156" s="14"/>
      <c r="I156" s="16"/>
    </row>
    <row r="157" spans="1:9" s="8" customFormat="1" x14ac:dyDescent="0.2">
      <c r="A157" s="10">
        <v>15291</v>
      </c>
      <c r="B157" s="11">
        <v>41992</v>
      </c>
      <c r="C157" s="12">
        <v>114.75</v>
      </c>
      <c r="D157" s="12">
        <v>8.75</v>
      </c>
      <c r="E157" s="17"/>
      <c r="F157" s="18"/>
      <c r="G157" s="19"/>
      <c r="H157" s="14"/>
      <c r="I157" s="16"/>
    </row>
    <row r="158" spans="1:9" s="8" customFormat="1" x14ac:dyDescent="0.2">
      <c r="A158" s="10">
        <v>15292</v>
      </c>
      <c r="B158" s="11">
        <v>41992</v>
      </c>
      <c r="C158" s="12">
        <v>100</v>
      </c>
      <c r="D158" s="12"/>
      <c r="E158" s="13" t="s">
        <v>8</v>
      </c>
      <c r="F158" s="20">
        <f>+C153+C154</f>
        <v>107.75999999999999</v>
      </c>
      <c r="G158" s="20">
        <v>105.87</v>
      </c>
      <c r="H158" s="14"/>
      <c r="I158" s="16"/>
    </row>
    <row r="159" spans="1:9" s="8" customFormat="1" x14ac:dyDescent="0.2">
      <c r="A159" s="10">
        <v>15293</v>
      </c>
      <c r="B159" s="11">
        <v>41993</v>
      </c>
      <c r="C159" s="12">
        <v>18.349999999999998</v>
      </c>
      <c r="D159" s="12">
        <v>1.4</v>
      </c>
      <c r="E159" s="17"/>
      <c r="H159" s="14"/>
      <c r="I159" s="16"/>
    </row>
    <row r="160" spans="1:9" s="8" customFormat="1" x14ac:dyDescent="0.2">
      <c r="A160" s="10">
        <v>15294</v>
      </c>
      <c r="B160" s="11">
        <v>41993</v>
      </c>
      <c r="C160" s="12">
        <v>51.31</v>
      </c>
      <c r="D160" s="12">
        <v>3.91</v>
      </c>
      <c r="E160" s="17"/>
      <c r="F160" s="18"/>
      <c r="G160" s="19"/>
      <c r="H160" s="14"/>
      <c r="I160" s="16"/>
    </row>
    <row r="161" spans="1:9" s="8" customFormat="1" x14ac:dyDescent="0.2">
      <c r="A161" s="10">
        <v>15295</v>
      </c>
      <c r="B161" s="11">
        <v>41993</v>
      </c>
      <c r="C161" s="12">
        <v>28.15</v>
      </c>
      <c r="D161" s="12">
        <v>2.15</v>
      </c>
      <c r="E161" s="17"/>
      <c r="F161" s="18"/>
      <c r="G161" s="19"/>
      <c r="H161" s="14"/>
      <c r="I161" s="16"/>
    </row>
    <row r="162" spans="1:9" x14ac:dyDescent="0.2">
      <c r="A162" s="10">
        <v>15296</v>
      </c>
      <c r="B162" s="11">
        <v>41993</v>
      </c>
      <c r="C162" s="12">
        <v>18</v>
      </c>
      <c r="D162" s="12">
        <v>1.36</v>
      </c>
      <c r="E162" s="17"/>
      <c r="F162" s="12"/>
      <c r="G162" s="12"/>
      <c r="H162" s="12"/>
    </row>
    <row r="163" spans="1:9" x14ac:dyDescent="0.2">
      <c r="A163" s="10">
        <v>15297</v>
      </c>
      <c r="B163" s="11">
        <v>41993</v>
      </c>
      <c r="C163" s="12">
        <v>18</v>
      </c>
      <c r="D163" s="12">
        <v>1.36</v>
      </c>
      <c r="E163" s="17"/>
      <c r="F163" s="12"/>
      <c r="G163" s="12"/>
      <c r="H163" s="12"/>
    </row>
    <row r="164" spans="1:9" x14ac:dyDescent="0.2">
      <c r="A164" s="10">
        <v>15298</v>
      </c>
      <c r="B164" s="11">
        <v>41993</v>
      </c>
      <c r="C164" s="12">
        <v>21.65</v>
      </c>
      <c r="D164" s="12">
        <v>1.65</v>
      </c>
      <c r="E164" s="17"/>
      <c r="H164" s="12"/>
    </row>
    <row r="165" spans="1:9" x14ac:dyDescent="0.2">
      <c r="A165" s="10">
        <v>15299</v>
      </c>
      <c r="B165" s="11">
        <v>41993</v>
      </c>
      <c r="C165" s="12">
        <v>167.79</v>
      </c>
      <c r="D165" s="12">
        <v>12.79</v>
      </c>
      <c r="E165" s="15" t="s">
        <v>37</v>
      </c>
      <c r="F165" s="21"/>
      <c r="G165" s="22"/>
      <c r="H165" s="10"/>
      <c r="I165" s="10"/>
    </row>
    <row r="166" spans="1:9" x14ac:dyDescent="0.2">
      <c r="A166" s="10">
        <v>15300</v>
      </c>
      <c r="B166" s="11">
        <v>41993</v>
      </c>
      <c r="C166" s="12">
        <v>8.66</v>
      </c>
      <c r="D166" s="12">
        <v>0.66</v>
      </c>
      <c r="E166" s="15" t="s">
        <v>11</v>
      </c>
      <c r="H166" s="10"/>
      <c r="I166" s="10"/>
    </row>
    <row r="167" spans="1:9" x14ac:dyDescent="0.2">
      <c r="A167" s="10">
        <v>15301</v>
      </c>
      <c r="B167" s="11">
        <v>41993</v>
      </c>
      <c r="C167" s="12">
        <v>104.46</v>
      </c>
      <c r="D167" s="12">
        <v>7.96</v>
      </c>
      <c r="E167" s="15" t="s">
        <v>11</v>
      </c>
      <c r="F167" s="20">
        <f>+C159+C166+22.79+C167-18.35</f>
        <v>135.91</v>
      </c>
      <c r="G167" s="20">
        <v>134.54</v>
      </c>
      <c r="H167" s="10"/>
      <c r="I167" s="10"/>
    </row>
    <row r="168" spans="1:9" x14ac:dyDescent="0.2">
      <c r="A168" s="10">
        <v>15302</v>
      </c>
      <c r="B168" s="11">
        <v>41995</v>
      </c>
      <c r="C168" s="12">
        <v>220.00000000000003</v>
      </c>
      <c r="D168" s="12">
        <v>16.77</v>
      </c>
      <c r="E168" s="15" t="s">
        <v>21</v>
      </c>
      <c r="H168" s="10"/>
      <c r="I168" s="10"/>
    </row>
    <row r="169" spans="1:9" x14ac:dyDescent="0.2">
      <c r="A169" s="10">
        <v>15303</v>
      </c>
      <c r="B169" s="11">
        <v>41995</v>
      </c>
      <c r="C169" s="12">
        <v>48.660000000000004</v>
      </c>
      <c r="D169" s="12">
        <v>3.71</v>
      </c>
      <c r="E169" s="15" t="s">
        <v>11</v>
      </c>
      <c r="F169" s="21"/>
      <c r="G169" s="22"/>
      <c r="H169" s="10"/>
      <c r="I169" s="10"/>
    </row>
    <row r="170" spans="1:9" x14ac:dyDescent="0.2">
      <c r="A170" s="10">
        <v>15304</v>
      </c>
      <c r="B170" s="11">
        <v>41995</v>
      </c>
      <c r="C170" s="12">
        <v>201.29</v>
      </c>
      <c r="D170" s="12">
        <v>15.34</v>
      </c>
      <c r="E170" s="13" t="s">
        <v>38</v>
      </c>
      <c r="H170" s="12"/>
      <c r="I170" s="10"/>
    </row>
    <row r="171" spans="1:9" x14ac:dyDescent="0.2">
      <c r="A171" s="10">
        <v>15305</v>
      </c>
      <c r="B171" s="11">
        <v>41995</v>
      </c>
      <c r="C171" s="12">
        <v>240</v>
      </c>
      <c r="D171" s="12"/>
      <c r="E171" s="15" t="s">
        <v>39</v>
      </c>
      <c r="H171" s="10"/>
      <c r="I171" s="10"/>
    </row>
    <row r="172" spans="1:9" x14ac:dyDescent="0.2">
      <c r="A172" s="10">
        <v>15306</v>
      </c>
      <c r="B172" s="11">
        <v>41995</v>
      </c>
      <c r="C172" s="12">
        <v>7.5</v>
      </c>
      <c r="D172" s="12">
        <v>0.56999999999999995</v>
      </c>
      <c r="E172" s="17"/>
      <c r="H172" s="12"/>
      <c r="I172" s="10"/>
    </row>
    <row r="173" spans="1:9" x14ac:dyDescent="0.2">
      <c r="A173" s="10">
        <v>15307</v>
      </c>
      <c r="B173" s="11">
        <v>41995</v>
      </c>
      <c r="C173" s="12">
        <v>304.83000000000004</v>
      </c>
      <c r="D173" s="12">
        <v>23.23</v>
      </c>
      <c r="E173" s="13"/>
      <c r="H173" s="12"/>
      <c r="I173" s="10"/>
    </row>
    <row r="174" spans="1:9" x14ac:dyDescent="0.2">
      <c r="A174" s="10">
        <v>15308</v>
      </c>
      <c r="B174" s="11">
        <v>41995</v>
      </c>
      <c r="C174" s="12">
        <v>399.44</v>
      </c>
      <c r="D174" s="12">
        <v>30.44</v>
      </c>
      <c r="E174" s="15" t="s">
        <v>21</v>
      </c>
      <c r="F174" s="20">
        <f>+C169</f>
        <v>48.660000000000004</v>
      </c>
      <c r="G174" s="20">
        <v>48.17</v>
      </c>
      <c r="H174" s="10"/>
      <c r="I174" s="10"/>
    </row>
    <row r="175" spans="1:9" x14ac:dyDescent="0.2">
      <c r="A175" s="10">
        <v>15309</v>
      </c>
      <c r="B175" s="11">
        <v>41996</v>
      </c>
      <c r="C175" s="12">
        <v>262.20999999999998</v>
      </c>
      <c r="D175" s="12">
        <v>19.98</v>
      </c>
      <c r="E175" s="17"/>
      <c r="F175" s="18"/>
      <c r="G175" s="19"/>
      <c r="H175" s="12"/>
      <c r="I175" s="10"/>
    </row>
    <row r="176" spans="1:9" x14ac:dyDescent="0.2">
      <c r="A176" s="10">
        <v>15310</v>
      </c>
      <c r="B176" s="11">
        <v>41996</v>
      </c>
      <c r="C176" s="12">
        <v>32.479999999999997</v>
      </c>
      <c r="D176" s="12">
        <v>2.48</v>
      </c>
      <c r="E176" s="15" t="s">
        <v>7</v>
      </c>
      <c r="F176" s="21"/>
      <c r="G176" s="22"/>
      <c r="H176" s="10"/>
      <c r="I176" s="10"/>
    </row>
    <row r="177" spans="1:9" x14ac:dyDescent="0.2">
      <c r="A177" s="10">
        <v>15311</v>
      </c>
      <c r="B177" s="11">
        <v>41996</v>
      </c>
      <c r="C177" s="12">
        <v>10.83</v>
      </c>
      <c r="D177" s="12">
        <v>0.83</v>
      </c>
      <c r="E177" s="17"/>
      <c r="F177" s="18"/>
      <c r="G177" s="19"/>
      <c r="H177" s="12"/>
      <c r="I177" s="10"/>
    </row>
    <row r="178" spans="1:9" x14ac:dyDescent="0.2">
      <c r="A178" s="10">
        <v>15312</v>
      </c>
      <c r="B178" s="11">
        <v>41996</v>
      </c>
      <c r="C178" s="12">
        <v>20.57</v>
      </c>
      <c r="D178" s="12">
        <v>1.57</v>
      </c>
      <c r="E178" s="17"/>
      <c r="H178" s="12"/>
      <c r="I178" s="10"/>
    </row>
    <row r="179" spans="1:9" x14ac:dyDescent="0.2">
      <c r="A179" s="10">
        <v>15313</v>
      </c>
      <c r="B179" s="11">
        <v>41996</v>
      </c>
      <c r="C179" s="12">
        <v>174.28</v>
      </c>
      <c r="D179" s="12">
        <v>13.28</v>
      </c>
      <c r="E179" s="17"/>
      <c r="H179" s="12"/>
      <c r="I179" s="10"/>
    </row>
    <row r="180" spans="1:9" x14ac:dyDescent="0.2">
      <c r="A180" s="10">
        <v>15314</v>
      </c>
      <c r="B180" s="11">
        <v>41996</v>
      </c>
      <c r="C180" s="12">
        <v>110</v>
      </c>
      <c r="D180" s="12">
        <v>8.3800000000000008</v>
      </c>
      <c r="E180" s="17"/>
      <c r="F180" s="20">
        <f>+C176</f>
        <v>32.479999999999997</v>
      </c>
      <c r="G180" s="20">
        <v>31.67</v>
      </c>
      <c r="H180" s="12"/>
      <c r="I180" s="10"/>
    </row>
    <row r="181" spans="1:9" x14ac:dyDescent="0.2">
      <c r="A181" s="10">
        <v>15315</v>
      </c>
      <c r="B181" s="11">
        <v>41997</v>
      </c>
      <c r="C181" s="12">
        <v>10.83</v>
      </c>
      <c r="D181" s="12">
        <v>0.83</v>
      </c>
      <c r="E181" s="15" t="s">
        <v>11</v>
      </c>
      <c r="F181" s="20">
        <f>+C177</f>
        <v>10.83</v>
      </c>
      <c r="G181" s="20">
        <v>10.49</v>
      </c>
      <c r="H181" s="10"/>
      <c r="I181" s="10"/>
    </row>
    <row r="182" spans="1:9" x14ac:dyDescent="0.2">
      <c r="A182" s="10">
        <v>15316</v>
      </c>
      <c r="B182" s="11">
        <v>41999</v>
      </c>
      <c r="C182" s="12">
        <v>32.479999999999997</v>
      </c>
      <c r="D182" s="12">
        <v>2.48</v>
      </c>
      <c r="E182" s="23"/>
      <c r="H182" s="10"/>
      <c r="I182" s="10"/>
    </row>
    <row r="183" spans="1:9" x14ac:dyDescent="0.2">
      <c r="A183" s="10">
        <v>15317</v>
      </c>
      <c r="B183" s="11">
        <v>41999</v>
      </c>
      <c r="C183" s="12">
        <v>307.48</v>
      </c>
      <c r="D183" s="12">
        <v>23.43</v>
      </c>
      <c r="E183" s="15" t="s">
        <v>7</v>
      </c>
      <c r="F183" s="21"/>
      <c r="G183" s="22"/>
      <c r="H183" s="10"/>
      <c r="I183" s="10"/>
    </row>
    <row r="184" spans="1:9" x14ac:dyDescent="0.2">
      <c r="A184" s="10">
        <v>15318</v>
      </c>
      <c r="B184" s="11">
        <v>41999</v>
      </c>
      <c r="C184" s="12">
        <v>15</v>
      </c>
      <c r="D184" s="12"/>
      <c r="E184" s="13" t="s">
        <v>40</v>
      </c>
      <c r="H184" s="12"/>
      <c r="I184" s="10"/>
    </row>
    <row r="185" spans="1:9" x14ac:dyDescent="0.2">
      <c r="A185" s="10">
        <v>15319</v>
      </c>
      <c r="B185" s="11">
        <v>41999</v>
      </c>
      <c r="C185" s="12">
        <v>103.02999999999999</v>
      </c>
      <c r="D185" s="12">
        <v>7.85</v>
      </c>
      <c r="E185" s="15" t="s">
        <v>7</v>
      </c>
      <c r="F185" s="21"/>
      <c r="G185" s="22"/>
      <c r="H185" s="10"/>
      <c r="I185" s="10"/>
    </row>
    <row r="186" spans="1:9" x14ac:dyDescent="0.2">
      <c r="A186" s="10">
        <v>15320</v>
      </c>
      <c r="B186" s="11">
        <v>41999</v>
      </c>
      <c r="C186" s="12">
        <v>172.12</v>
      </c>
      <c r="D186" s="12">
        <v>13.12</v>
      </c>
      <c r="E186" s="15" t="s">
        <v>11</v>
      </c>
      <c r="H186" s="10"/>
      <c r="I186" s="10"/>
    </row>
    <row r="187" spans="1:9" x14ac:dyDescent="0.2">
      <c r="A187" s="10">
        <v>15321</v>
      </c>
      <c r="B187" s="11">
        <v>41999</v>
      </c>
      <c r="C187" s="12">
        <v>277.12</v>
      </c>
      <c r="D187" s="12">
        <v>21.12</v>
      </c>
      <c r="E187" s="15" t="s">
        <v>11</v>
      </c>
      <c r="H187" s="10"/>
      <c r="I187" s="10"/>
    </row>
    <row r="188" spans="1:9" x14ac:dyDescent="0.2">
      <c r="A188" s="10">
        <v>15322</v>
      </c>
      <c r="B188" s="11">
        <v>41999</v>
      </c>
      <c r="C188" s="12">
        <v>32.26</v>
      </c>
      <c r="D188" s="12">
        <v>2.46</v>
      </c>
      <c r="E188" s="17"/>
      <c r="H188" s="12"/>
      <c r="I188" s="10"/>
    </row>
    <row r="189" spans="1:9" x14ac:dyDescent="0.2">
      <c r="A189" s="10">
        <v>15323</v>
      </c>
      <c r="B189" s="11">
        <v>41999</v>
      </c>
      <c r="C189" s="12">
        <v>108.25</v>
      </c>
      <c r="D189" s="12">
        <v>8.25</v>
      </c>
      <c r="E189" s="17"/>
      <c r="H189" s="12"/>
      <c r="I189" s="10"/>
    </row>
    <row r="190" spans="1:9" x14ac:dyDescent="0.2">
      <c r="A190" s="10">
        <v>15324</v>
      </c>
      <c r="B190" s="11">
        <v>41999</v>
      </c>
      <c r="C190" s="12">
        <v>5.95</v>
      </c>
      <c r="D190" s="12"/>
      <c r="E190" s="17"/>
      <c r="H190" s="12"/>
      <c r="I190" s="10"/>
    </row>
    <row r="191" spans="1:9" x14ac:dyDescent="0.2">
      <c r="A191" s="10">
        <v>15325</v>
      </c>
      <c r="B191" s="11">
        <v>41999</v>
      </c>
      <c r="C191" s="12">
        <v>15.05</v>
      </c>
      <c r="D191" s="12">
        <v>1.1499999999999999</v>
      </c>
      <c r="E191" s="15" t="s">
        <v>11</v>
      </c>
      <c r="F191" s="21"/>
      <c r="G191" s="22"/>
      <c r="H191" s="10"/>
      <c r="I191" s="10"/>
    </row>
    <row r="192" spans="1:9" x14ac:dyDescent="0.2">
      <c r="A192" s="10">
        <v>15326</v>
      </c>
      <c r="B192" s="11">
        <v>41999</v>
      </c>
      <c r="C192" s="12">
        <v>47.580000000000005</v>
      </c>
      <c r="D192" s="12">
        <v>3.63</v>
      </c>
      <c r="E192" s="17"/>
      <c r="H192" s="12"/>
      <c r="I192" s="10"/>
    </row>
    <row r="193" spans="1:9" x14ac:dyDescent="0.2">
      <c r="A193" s="10">
        <v>15327</v>
      </c>
      <c r="B193" s="11">
        <v>41999</v>
      </c>
      <c r="C193" s="12">
        <v>79.240000000000009</v>
      </c>
      <c r="D193" s="12">
        <v>6.04</v>
      </c>
      <c r="E193" s="15" t="s">
        <v>11</v>
      </c>
      <c r="F193" s="20">
        <f>+C183+C185+C186+C187+C191+C193</f>
        <v>954.04</v>
      </c>
      <c r="G193" s="20">
        <v>940.74</v>
      </c>
      <c r="H193" s="10"/>
      <c r="I193" s="10"/>
    </row>
    <row r="194" spans="1:9" x14ac:dyDescent="0.2">
      <c r="A194" s="10">
        <v>15328</v>
      </c>
      <c r="B194" s="11">
        <v>42000</v>
      </c>
      <c r="C194" s="12">
        <v>10.83</v>
      </c>
      <c r="D194" s="12">
        <v>0.83</v>
      </c>
      <c r="E194" s="17"/>
      <c r="H194" s="12"/>
      <c r="I194" s="10"/>
    </row>
    <row r="195" spans="1:9" x14ac:dyDescent="0.2">
      <c r="A195" s="10">
        <v>15329</v>
      </c>
      <c r="B195" s="11">
        <v>42000</v>
      </c>
      <c r="C195" s="12">
        <v>10</v>
      </c>
      <c r="D195" s="12">
        <v>0.76</v>
      </c>
      <c r="E195" s="17"/>
      <c r="F195" s="18"/>
      <c r="G195" s="19"/>
      <c r="H195" s="12"/>
      <c r="I195" s="10"/>
    </row>
    <row r="196" spans="1:9" x14ac:dyDescent="0.2">
      <c r="A196" s="10">
        <v>15330</v>
      </c>
      <c r="B196" s="11">
        <v>42000</v>
      </c>
      <c r="C196" s="12">
        <v>120.7</v>
      </c>
      <c r="D196" s="12">
        <v>9.1999999999999993</v>
      </c>
      <c r="E196" s="15" t="s">
        <v>41</v>
      </c>
      <c r="H196" s="10"/>
      <c r="I196" s="10"/>
    </row>
    <row r="197" spans="1:9" x14ac:dyDescent="0.2">
      <c r="A197" s="10">
        <v>15331</v>
      </c>
      <c r="B197" s="11">
        <v>42000</v>
      </c>
      <c r="C197" s="12">
        <v>74</v>
      </c>
      <c r="D197" s="12"/>
      <c r="E197" s="15" t="s">
        <v>42</v>
      </c>
      <c r="F197" s="21"/>
      <c r="G197" s="22"/>
      <c r="H197" s="10"/>
      <c r="I197" s="10"/>
    </row>
    <row r="198" spans="1:9" x14ac:dyDescent="0.2">
      <c r="A198" s="10">
        <v>15332</v>
      </c>
      <c r="B198" s="11">
        <v>42000</v>
      </c>
      <c r="C198" s="12">
        <v>14.07</v>
      </c>
      <c r="D198" s="12">
        <v>1.07</v>
      </c>
      <c r="E198" s="17"/>
      <c r="F198" s="18"/>
      <c r="G198" s="19"/>
      <c r="H198" s="12"/>
      <c r="I198" s="10"/>
    </row>
    <row r="199" spans="1:9" x14ac:dyDescent="0.2">
      <c r="A199" s="10">
        <v>15333</v>
      </c>
      <c r="B199" s="11">
        <v>42000</v>
      </c>
      <c r="C199" s="12">
        <v>32.99</v>
      </c>
      <c r="D199" s="12">
        <v>2.5099999999999998</v>
      </c>
      <c r="E199" s="17"/>
      <c r="H199" s="12"/>
      <c r="I199" s="10"/>
    </row>
    <row r="200" spans="1:9" x14ac:dyDescent="0.2">
      <c r="A200" s="10">
        <v>15334</v>
      </c>
      <c r="B200" s="11">
        <v>42000</v>
      </c>
      <c r="C200" s="12">
        <v>224.62</v>
      </c>
      <c r="D200" s="12">
        <v>17.12</v>
      </c>
      <c r="E200" s="13" t="s">
        <v>43</v>
      </c>
      <c r="H200" s="12"/>
      <c r="I200" s="10"/>
    </row>
    <row r="201" spans="1:9" x14ac:dyDescent="0.2">
      <c r="A201" s="10">
        <v>15335</v>
      </c>
      <c r="B201" s="11">
        <v>42000</v>
      </c>
      <c r="C201" s="12">
        <v>24</v>
      </c>
      <c r="D201" s="12"/>
      <c r="E201" s="13" t="s">
        <v>42</v>
      </c>
      <c r="H201" s="12"/>
      <c r="I201" s="10"/>
    </row>
    <row r="202" spans="1:9" x14ac:dyDescent="0.2">
      <c r="A202" s="10">
        <v>15336</v>
      </c>
      <c r="B202" s="11">
        <v>42000</v>
      </c>
      <c r="C202" s="12">
        <v>185.65</v>
      </c>
      <c r="D202" s="12">
        <v>14.15</v>
      </c>
      <c r="E202" s="17"/>
      <c r="H202" s="12"/>
      <c r="I202" s="10"/>
    </row>
    <row r="203" spans="1:9" x14ac:dyDescent="0.2">
      <c r="A203" s="10">
        <v>15337</v>
      </c>
      <c r="B203" s="11">
        <v>42000</v>
      </c>
      <c r="C203" s="12">
        <v>10.83</v>
      </c>
      <c r="D203" s="12">
        <v>0.83</v>
      </c>
      <c r="E203" s="15" t="s">
        <v>11</v>
      </c>
      <c r="H203" s="10"/>
      <c r="I203" s="10"/>
    </row>
    <row r="204" spans="1:9" x14ac:dyDescent="0.2">
      <c r="A204" s="10">
        <v>15338</v>
      </c>
      <c r="B204" s="11">
        <v>42000</v>
      </c>
      <c r="C204" s="12">
        <v>31.34</v>
      </c>
      <c r="D204" s="12">
        <v>2.39</v>
      </c>
      <c r="E204" s="15" t="s">
        <v>13</v>
      </c>
      <c r="H204" s="10"/>
      <c r="I204" s="10"/>
    </row>
    <row r="205" spans="1:9" x14ac:dyDescent="0.2">
      <c r="A205" s="10">
        <v>15339</v>
      </c>
      <c r="B205" s="11">
        <v>42000</v>
      </c>
      <c r="C205" s="12">
        <v>10.83</v>
      </c>
      <c r="D205" s="12">
        <v>0.83</v>
      </c>
      <c r="E205" s="15" t="s">
        <v>11</v>
      </c>
      <c r="F205" s="20">
        <f>50+94.62+C203+C204+C205</f>
        <v>197.62000000000003</v>
      </c>
      <c r="G205" s="20">
        <v>194.95</v>
      </c>
      <c r="H205" s="10"/>
      <c r="I205" s="10"/>
    </row>
    <row r="206" spans="1:9" x14ac:dyDescent="0.2">
      <c r="A206" s="10">
        <v>15340</v>
      </c>
      <c r="B206" s="11">
        <v>42002</v>
      </c>
      <c r="C206" s="12">
        <v>53</v>
      </c>
      <c r="D206" s="12">
        <v>4.04</v>
      </c>
      <c r="E206" s="17"/>
      <c r="H206" s="12"/>
      <c r="I206" s="10"/>
    </row>
    <row r="207" spans="1:9" x14ac:dyDescent="0.2">
      <c r="A207" s="10">
        <v>15341</v>
      </c>
      <c r="B207" s="11">
        <v>42002</v>
      </c>
      <c r="C207" s="12">
        <v>18.399999999999999</v>
      </c>
      <c r="D207" s="12">
        <v>1.4</v>
      </c>
      <c r="E207" s="15" t="s">
        <v>11</v>
      </c>
      <c r="F207" s="21"/>
      <c r="G207" s="22"/>
      <c r="H207" s="10"/>
      <c r="I207" s="10"/>
    </row>
    <row r="208" spans="1:9" x14ac:dyDescent="0.2">
      <c r="A208" s="10">
        <v>15342</v>
      </c>
      <c r="B208" s="11">
        <v>42002</v>
      </c>
      <c r="C208" s="12">
        <v>10.77</v>
      </c>
      <c r="D208" s="12">
        <v>0.82</v>
      </c>
      <c r="E208" s="13"/>
      <c r="F208" s="18"/>
      <c r="G208" s="19"/>
      <c r="H208" s="12"/>
      <c r="I208" s="10"/>
    </row>
    <row r="209" spans="1:9" x14ac:dyDescent="0.2">
      <c r="A209" s="10">
        <v>15343</v>
      </c>
      <c r="B209" s="11">
        <v>42002</v>
      </c>
      <c r="C209" s="12">
        <v>7.58</v>
      </c>
      <c r="D209" s="12">
        <v>0.57999999999999996</v>
      </c>
      <c r="E209" s="15" t="s">
        <v>11</v>
      </c>
      <c r="H209" s="10"/>
      <c r="I209" s="10"/>
    </row>
    <row r="210" spans="1:9" x14ac:dyDescent="0.2">
      <c r="A210" s="10">
        <v>15344</v>
      </c>
      <c r="B210" s="11">
        <v>42002</v>
      </c>
      <c r="C210" s="12">
        <v>5</v>
      </c>
      <c r="D210" s="12">
        <v>0.38</v>
      </c>
      <c r="E210" s="17"/>
      <c r="H210" s="12"/>
      <c r="I210" s="10"/>
    </row>
    <row r="211" spans="1:9" x14ac:dyDescent="0.2">
      <c r="A211" s="10">
        <v>15345</v>
      </c>
      <c r="B211" s="11">
        <v>42002</v>
      </c>
      <c r="C211" s="12">
        <v>14.969999999999999</v>
      </c>
      <c r="D211" s="12">
        <v>1.1399999999999999</v>
      </c>
      <c r="E211" s="17"/>
      <c r="F211" s="18"/>
      <c r="G211" s="19"/>
      <c r="H211" s="12"/>
      <c r="I211" s="10"/>
    </row>
    <row r="212" spans="1:9" x14ac:dyDescent="0.2">
      <c r="A212" s="10">
        <v>15346</v>
      </c>
      <c r="B212" s="11">
        <v>42002</v>
      </c>
      <c r="C212" s="12">
        <v>29.23</v>
      </c>
      <c r="D212" s="12">
        <v>2.23</v>
      </c>
      <c r="E212" s="15" t="s">
        <v>11</v>
      </c>
      <c r="H212" s="10"/>
      <c r="I212" s="10"/>
    </row>
    <row r="213" spans="1:9" x14ac:dyDescent="0.2">
      <c r="A213" s="10">
        <v>15347</v>
      </c>
      <c r="B213" s="11">
        <v>42002</v>
      </c>
      <c r="C213" s="12">
        <v>457.9</v>
      </c>
      <c r="D213" s="12">
        <v>34.9</v>
      </c>
      <c r="E213" s="17"/>
      <c r="F213" s="18"/>
      <c r="G213" s="19"/>
      <c r="H213" s="12"/>
      <c r="I213" s="10"/>
    </row>
    <row r="214" spans="1:9" x14ac:dyDescent="0.2">
      <c r="A214" s="10">
        <v>15348</v>
      </c>
      <c r="B214" s="11">
        <v>42002</v>
      </c>
      <c r="C214" s="12">
        <v>240</v>
      </c>
      <c r="D214" s="12">
        <v>18.29</v>
      </c>
      <c r="E214" s="17"/>
      <c r="H214" s="12"/>
      <c r="I214" s="10"/>
    </row>
    <row r="215" spans="1:9" x14ac:dyDescent="0.2">
      <c r="A215" s="10">
        <v>15349</v>
      </c>
      <c r="B215" s="11">
        <v>42002</v>
      </c>
      <c r="C215" s="12">
        <v>34.590000000000003</v>
      </c>
      <c r="D215" s="12">
        <v>2.64</v>
      </c>
      <c r="E215" s="17"/>
      <c r="F215" s="20">
        <f>+C207+C209+C212</f>
        <v>55.209999999999994</v>
      </c>
      <c r="G215" s="20">
        <v>54.06</v>
      </c>
      <c r="H215" s="12"/>
      <c r="I215" s="10"/>
    </row>
    <row r="216" spans="1:9" x14ac:dyDescent="0.2">
      <c r="A216" s="10">
        <v>15350</v>
      </c>
      <c r="B216" s="11">
        <v>42003</v>
      </c>
      <c r="C216" s="12">
        <v>65.040000000000006</v>
      </c>
      <c r="D216" s="12">
        <v>4.96</v>
      </c>
      <c r="E216" s="15" t="s">
        <v>7</v>
      </c>
      <c r="F216" s="21"/>
      <c r="G216" s="22"/>
      <c r="H216" s="10"/>
      <c r="I216" s="10"/>
    </row>
    <row r="217" spans="1:9" x14ac:dyDescent="0.2">
      <c r="A217" s="10">
        <v>15351</v>
      </c>
      <c r="B217" s="11">
        <v>42003</v>
      </c>
      <c r="C217" s="12">
        <v>102.84</v>
      </c>
      <c r="D217" s="12">
        <v>7.84</v>
      </c>
      <c r="E217" s="15" t="s">
        <v>11</v>
      </c>
      <c r="H217" s="10"/>
      <c r="I217" s="10"/>
    </row>
    <row r="218" spans="1:9" x14ac:dyDescent="0.2">
      <c r="A218" s="10">
        <v>15352</v>
      </c>
      <c r="B218" s="11">
        <v>42003</v>
      </c>
      <c r="C218" s="12">
        <v>208.38</v>
      </c>
      <c r="D218" s="12">
        <v>15.88</v>
      </c>
      <c r="E218" s="15" t="s">
        <v>21</v>
      </c>
      <c r="H218" s="10"/>
      <c r="I218" s="10"/>
    </row>
    <row r="219" spans="1:9" x14ac:dyDescent="0.2">
      <c r="A219" s="10">
        <v>15353</v>
      </c>
      <c r="B219" s="11">
        <v>42003</v>
      </c>
      <c r="C219" s="12">
        <v>44</v>
      </c>
      <c r="D219" s="12"/>
      <c r="E219" s="13" t="s">
        <v>39</v>
      </c>
      <c r="F219" s="18"/>
      <c r="G219" s="19"/>
      <c r="H219" s="12"/>
      <c r="I219" s="10"/>
    </row>
    <row r="220" spans="1:9" x14ac:dyDescent="0.2">
      <c r="A220" s="10">
        <v>15354</v>
      </c>
      <c r="B220" s="11">
        <v>42003</v>
      </c>
      <c r="C220" s="12">
        <v>63.27</v>
      </c>
      <c r="D220" s="12">
        <v>4.82</v>
      </c>
      <c r="E220" s="15" t="s">
        <v>11</v>
      </c>
      <c r="H220" s="10"/>
      <c r="I220" s="10"/>
    </row>
    <row r="221" spans="1:9" x14ac:dyDescent="0.2">
      <c r="A221" s="10">
        <v>15355</v>
      </c>
      <c r="B221" s="11">
        <v>42003</v>
      </c>
      <c r="C221" s="12">
        <v>-65.040000000000006</v>
      </c>
      <c r="D221" s="12">
        <v>-4.96</v>
      </c>
      <c r="E221" s="15" t="s">
        <v>44</v>
      </c>
      <c r="H221" s="10"/>
      <c r="I221" s="10"/>
    </row>
    <row r="222" spans="1:9" x14ac:dyDescent="0.2">
      <c r="A222" s="10">
        <v>15356</v>
      </c>
      <c r="B222" s="11">
        <v>42003</v>
      </c>
      <c r="C222" s="12">
        <v>94.18</v>
      </c>
      <c r="D222" s="12">
        <v>7.18</v>
      </c>
      <c r="E222" s="15" t="s">
        <v>11</v>
      </c>
      <c r="F222" s="21"/>
      <c r="G222" s="22"/>
      <c r="H222" s="10"/>
      <c r="I222" s="10"/>
    </row>
    <row r="223" spans="1:9" x14ac:dyDescent="0.2">
      <c r="A223" s="10">
        <v>15357</v>
      </c>
      <c r="B223" s="11">
        <v>42003</v>
      </c>
      <c r="C223" s="12">
        <v>88.33</v>
      </c>
      <c r="D223" s="12">
        <v>6.73</v>
      </c>
      <c r="E223" s="15" t="s">
        <v>21</v>
      </c>
      <c r="F223" s="21"/>
      <c r="G223" s="22"/>
      <c r="H223" s="10"/>
      <c r="I223" s="10"/>
    </row>
    <row r="224" spans="1:9" x14ac:dyDescent="0.2">
      <c r="A224" s="10">
        <v>15358</v>
      </c>
      <c r="B224" s="11">
        <v>42003</v>
      </c>
      <c r="C224" s="12">
        <v>5.3900000000000006</v>
      </c>
      <c r="D224" s="12">
        <v>0.41</v>
      </c>
      <c r="E224" s="15" t="s">
        <v>11</v>
      </c>
      <c r="H224" s="10"/>
      <c r="I224" s="10"/>
    </row>
    <row r="225" spans="1:12" x14ac:dyDescent="0.2">
      <c r="A225" s="10">
        <v>15359</v>
      </c>
      <c r="B225" s="11">
        <v>42003</v>
      </c>
      <c r="C225" s="12">
        <v>8</v>
      </c>
      <c r="D225" s="12"/>
      <c r="E225" s="13" t="s">
        <v>19</v>
      </c>
      <c r="F225" s="18"/>
      <c r="G225" s="19"/>
      <c r="H225" s="12"/>
      <c r="I225" s="10"/>
    </row>
    <row r="226" spans="1:12" x14ac:dyDescent="0.2">
      <c r="A226" s="10">
        <v>15360</v>
      </c>
      <c r="B226" s="11">
        <v>42003</v>
      </c>
      <c r="C226" s="12">
        <v>117.99</v>
      </c>
      <c r="D226" s="12">
        <v>8.99</v>
      </c>
      <c r="E226" s="17"/>
      <c r="H226" s="12"/>
      <c r="I226" s="10"/>
    </row>
    <row r="227" spans="1:12" x14ac:dyDescent="0.2">
      <c r="A227" s="10">
        <v>15361</v>
      </c>
      <c r="B227" s="11">
        <v>42003</v>
      </c>
      <c r="C227" s="12">
        <v>14</v>
      </c>
      <c r="D227" s="12">
        <v>1.07</v>
      </c>
      <c r="E227" s="17"/>
      <c r="H227" s="12"/>
      <c r="I227" s="10"/>
    </row>
    <row r="228" spans="1:12" x14ac:dyDescent="0.2">
      <c r="A228" s="10">
        <v>15362</v>
      </c>
      <c r="B228" s="11">
        <v>42003</v>
      </c>
      <c r="C228" s="12">
        <v>165.83999999999997</v>
      </c>
      <c r="D228" s="12">
        <v>12.64</v>
      </c>
      <c r="E228" s="15" t="s">
        <v>45</v>
      </c>
      <c r="H228" s="10"/>
      <c r="I228" s="10"/>
    </row>
    <row r="229" spans="1:12" x14ac:dyDescent="0.2">
      <c r="A229" s="10">
        <v>15363</v>
      </c>
      <c r="B229" s="11">
        <v>42003</v>
      </c>
      <c r="C229" s="12">
        <v>148</v>
      </c>
      <c r="D229" s="12"/>
      <c r="E229" s="17"/>
      <c r="H229" s="12"/>
      <c r="I229" s="10"/>
    </row>
    <row r="230" spans="1:12" x14ac:dyDescent="0.2">
      <c r="A230" s="10">
        <v>15364</v>
      </c>
      <c r="B230" s="11">
        <v>42003</v>
      </c>
      <c r="C230" s="12">
        <v>40.5</v>
      </c>
      <c r="D230" s="12">
        <v>3.09</v>
      </c>
      <c r="E230" s="17"/>
      <c r="F230" s="20">
        <f>+C216+C217+C220+C221+C222+C224</f>
        <v>265.68</v>
      </c>
      <c r="G230" s="20">
        <v>260.49</v>
      </c>
      <c r="H230" s="12"/>
      <c r="I230" s="10"/>
    </row>
    <row r="231" spans="1:12" x14ac:dyDescent="0.2">
      <c r="A231" s="10">
        <v>15365</v>
      </c>
      <c r="B231" s="11">
        <v>42004</v>
      </c>
      <c r="C231" s="12">
        <v>15</v>
      </c>
      <c r="D231" s="12">
        <v>1.1399999999999999</v>
      </c>
      <c r="E231" s="17"/>
      <c r="F231" s="24"/>
      <c r="G231" s="24"/>
      <c r="H231" s="12"/>
      <c r="I231" s="10"/>
    </row>
    <row r="232" spans="1:12" x14ac:dyDescent="0.2">
      <c r="A232" s="10">
        <v>15366</v>
      </c>
      <c r="B232" s="11">
        <v>42004</v>
      </c>
      <c r="C232" s="12">
        <v>237</v>
      </c>
      <c r="D232" s="12">
        <v>18.059999999999999</v>
      </c>
      <c r="E232" s="17"/>
      <c r="F232" s="20">
        <v>0</v>
      </c>
      <c r="G232" s="20">
        <f>+F232*0.97831</f>
        <v>0</v>
      </c>
      <c r="H232" s="12"/>
      <c r="I232" s="10"/>
    </row>
    <row r="233" spans="1:12" x14ac:dyDescent="0.2">
      <c r="E233" s="26"/>
      <c r="H233" s="12"/>
    </row>
    <row r="234" spans="1:12" x14ac:dyDescent="0.2">
      <c r="E234" s="26"/>
      <c r="H234" s="12"/>
      <c r="I234" s="5"/>
      <c r="J234" s="27"/>
      <c r="L234" s="28"/>
    </row>
    <row r="235" spans="1:12" x14ac:dyDescent="0.2">
      <c r="E235" s="26"/>
      <c r="H235" s="10"/>
      <c r="I235" s="5"/>
      <c r="J235" s="27"/>
      <c r="L235" s="28"/>
    </row>
    <row r="236" spans="1:12" x14ac:dyDescent="0.2">
      <c r="E236" s="26"/>
      <c r="H236" s="10"/>
      <c r="I236" s="5"/>
      <c r="J236" s="27"/>
      <c r="L236" s="28"/>
    </row>
    <row r="237" spans="1:12" x14ac:dyDescent="0.2">
      <c r="E237" s="26"/>
      <c r="H237" s="12"/>
      <c r="I237" s="5"/>
      <c r="J237" s="27"/>
      <c r="L237" s="28"/>
    </row>
    <row r="238" spans="1:12" x14ac:dyDescent="0.2">
      <c r="E238" s="26"/>
      <c r="H238" s="12"/>
      <c r="I238" s="5"/>
      <c r="J238" s="27"/>
      <c r="L238" s="28"/>
    </row>
    <row r="239" spans="1:12" x14ac:dyDescent="0.2">
      <c r="E239" s="26"/>
      <c r="H239" s="10"/>
      <c r="I239" s="5"/>
      <c r="J239" s="27"/>
      <c r="L239" s="28"/>
    </row>
    <row r="240" spans="1:12" x14ac:dyDescent="0.2">
      <c r="E240" s="26"/>
      <c r="H240" s="12"/>
      <c r="I240" s="5"/>
      <c r="J240" s="27"/>
      <c r="K240" s="27"/>
      <c r="L240" s="25"/>
    </row>
    <row r="241" spans="5:12" x14ac:dyDescent="0.2">
      <c r="E241" s="26"/>
      <c r="H241" s="12"/>
      <c r="I241" s="5"/>
      <c r="J241" s="27"/>
      <c r="L241" s="28"/>
    </row>
    <row r="242" spans="5:12" x14ac:dyDescent="0.2">
      <c r="E242" s="26"/>
      <c r="H242" s="12"/>
      <c r="I242" s="5"/>
      <c r="J242" s="27"/>
      <c r="L242" s="28"/>
    </row>
    <row r="243" spans="5:12" x14ac:dyDescent="0.2">
      <c r="E243" s="26"/>
      <c r="H243" s="12"/>
      <c r="I243" s="5"/>
      <c r="J243" s="27"/>
      <c r="L243" s="28"/>
    </row>
    <row r="244" spans="5:12" x14ac:dyDescent="0.2">
      <c r="E244" s="26"/>
      <c r="H244" s="12"/>
      <c r="I244" s="5"/>
      <c r="J244" s="27"/>
      <c r="L244" s="28"/>
    </row>
    <row r="245" spans="5:12" x14ac:dyDescent="0.2">
      <c r="E245" s="26"/>
      <c r="H245" s="12"/>
      <c r="I245" s="5"/>
      <c r="J245" s="27"/>
      <c r="L245" s="28"/>
    </row>
    <row r="246" spans="5:12" x14ac:dyDescent="0.2">
      <c r="E246" s="26"/>
      <c r="I246" s="5"/>
      <c r="J246" s="27"/>
      <c r="L246" s="28"/>
    </row>
    <row r="247" spans="5:12" x14ac:dyDescent="0.2">
      <c r="E247" s="26"/>
      <c r="I247" s="5"/>
      <c r="J247" s="27"/>
      <c r="K247" s="27"/>
      <c r="L247" s="25"/>
    </row>
    <row r="248" spans="5:12" x14ac:dyDescent="0.2">
      <c r="E248" s="26"/>
    </row>
    <row r="249" spans="5:12" x14ac:dyDescent="0.2">
      <c r="E249" s="26"/>
    </row>
    <row r="250" spans="5:12" x14ac:dyDescent="0.2">
      <c r="E250" s="26"/>
    </row>
    <row r="251" spans="5:12" x14ac:dyDescent="0.2">
      <c r="E251" s="26"/>
    </row>
    <row r="252" spans="5:12" x14ac:dyDescent="0.2">
      <c r="E252" s="26"/>
    </row>
    <row r="253" spans="5:12" x14ac:dyDescent="0.2">
      <c r="E253" s="26"/>
    </row>
    <row r="254" spans="5:12" x14ac:dyDescent="0.2">
      <c r="E254" s="26"/>
    </row>
    <row r="255" spans="5:12" x14ac:dyDescent="0.2">
      <c r="E255" s="26"/>
    </row>
    <row r="256" spans="5:12" x14ac:dyDescent="0.2">
      <c r="E256" s="26"/>
    </row>
    <row r="257" spans="1:10" x14ac:dyDescent="0.2">
      <c r="E257" s="26"/>
    </row>
    <row r="258" spans="1:10" x14ac:dyDescent="0.2">
      <c r="E258" s="26"/>
    </row>
    <row r="259" spans="1:10" x14ac:dyDescent="0.2">
      <c r="E259" s="26"/>
    </row>
    <row r="260" spans="1:10" x14ac:dyDescent="0.2">
      <c r="E260" s="26"/>
    </row>
    <row r="261" spans="1:10" x14ac:dyDescent="0.2">
      <c r="E261" s="26"/>
    </row>
    <row r="262" spans="1:10" x14ac:dyDescent="0.2">
      <c r="E262" s="26"/>
    </row>
    <row r="263" spans="1:10" x14ac:dyDescent="0.2">
      <c r="E263" s="26"/>
    </row>
    <row r="264" spans="1:10" x14ac:dyDescent="0.2">
      <c r="E264" s="26"/>
    </row>
    <row r="265" spans="1:10" x14ac:dyDescent="0.2">
      <c r="E265" s="26"/>
    </row>
    <row r="266" spans="1:10" x14ac:dyDescent="0.2">
      <c r="E266" s="26"/>
    </row>
    <row r="267" spans="1:10" x14ac:dyDescent="0.2">
      <c r="E267" s="26"/>
    </row>
    <row r="268" spans="1:10" s="29" customFormat="1" x14ac:dyDescent="0.2">
      <c r="A268" s="4"/>
      <c r="B268" s="11"/>
      <c r="C268" s="25"/>
      <c r="D268" s="4"/>
      <c r="E268" s="26"/>
      <c r="F268" s="4"/>
      <c r="G268" s="4"/>
      <c r="H268" s="25"/>
      <c r="I268" s="4"/>
      <c r="J268" s="4"/>
    </row>
    <row r="269" spans="1:10" s="29" customFormat="1" x14ac:dyDescent="0.2">
      <c r="A269" s="4"/>
      <c r="B269" s="11"/>
      <c r="C269" s="25"/>
      <c r="D269" s="4"/>
      <c r="E269" s="26"/>
      <c r="F269" s="4"/>
      <c r="G269" s="4"/>
      <c r="H269" s="25"/>
      <c r="I269" s="4"/>
      <c r="J269" s="4"/>
    </row>
    <row r="270" spans="1:10" x14ac:dyDescent="0.2">
      <c r="E270" s="26"/>
    </row>
    <row r="271" spans="1:10" x14ac:dyDescent="0.2">
      <c r="A271" s="29"/>
      <c r="B271" s="30"/>
      <c r="C271" s="31"/>
      <c r="D271" s="29"/>
      <c r="E271" s="32"/>
      <c r="F271" s="29"/>
      <c r="G271" s="29"/>
      <c r="H271" s="31"/>
      <c r="I271" s="29"/>
      <c r="J271" s="29"/>
    </row>
    <row r="272" spans="1:10" x14ac:dyDescent="0.2">
      <c r="A272" s="29"/>
      <c r="B272" s="30"/>
      <c r="C272" s="31"/>
      <c r="D272" s="29"/>
      <c r="E272" s="32"/>
      <c r="F272" s="29"/>
      <c r="G272" s="29"/>
      <c r="H272" s="31"/>
      <c r="I272" s="29"/>
      <c r="J272" s="29"/>
    </row>
    <row r="273" spans="5:5" x14ac:dyDescent="0.2">
      <c r="E273" s="26"/>
    </row>
    <row r="274" spans="5:5" x14ac:dyDescent="0.2">
      <c r="E274" s="26"/>
    </row>
    <row r="275" spans="5:5" x14ac:dyDescent="0.2">
      <c r="E275" s="26"/>
    </row>
    <row r="276" spans="5:5" x14ac:dyDescent="0.2">
      <c r="E276" s="26"/>
    </row>
    <row r="277" spans="5:5" x14ac:dyDescent="0.2">
      <c r="E277" s="26"/>
    </row>
    <row r="278" spans="5:5" x14ac:dyDescent="0.2">
      <c r="E278" s="26"/>
    </row>
    <row r="279" spans="5:5" x14ac:dyDescent="0.2">
      <c r="E279" s="26"/>
    </row>
    <row r="280" spans="5:5" x14ac:dyDescent="0.2">
      <c r="E280" s="26"/>
    </row>
    <row r="281" spans="5:5" x14ac:dyDescent="0.2">
      <c r="E281" s="26"/>
    </row>
    <row r="282" spans="5:5" x14ac:dyDescent="0.2">
      <c r="E282" s="26"/>
    </row>
    <row r="283" spans="5:5" x14ac:dyDescent="0.2">
      <c r="E283" s="26"/>
    </row>
    <row r="284" spans="5:5" x14ac:dyDescent="0.2">
      <c r="E284" s="26"/>
    </row>
    <row r="285" spans="5:5" x14ac:dyDescent="0.2">
      <c r="E285" s="26"/>
    </row>
    <row r="286" spans="5:5" x14ac:dyDescent="0.2">
      <c r="E286" s="26"/>
    </row>
    <row r="287" spans="5:5" x14ac:dyDescent="0.2">
      <c r="E287" s="26"/>
    </row>
    <row r="288" spans="5:5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3138"/>
  <sheetViews>
    <sheetView topLeftCell="A161" workbookViewId="0">
      <selection activeCell="A196" sqref="A196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SUM(C4:C320)</f>
        <v>23871.500000000011</v>
      </c>
      <c r="D1" s="3">
        <f>SUM(D4:D320)</f>
        <v>1596.25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s="8" customFormat="1" x14ac:dyDescent="0.2">
      <c r="A3" s="10">
        <v>14943</v>
      </c>
      <c r="B3" s="11">
        <v>41944</v>
      </c>
      <c r="C3" s="12">
        <v>24.84</v>
      </c>
      <c r="D3" s="12">
        <v>1.89</v>
      </c>
      <c r="E3" s="15" t="s">
        <v>11</v>
      </c>
      <c r="H3" s="9"/>
    </row>
    <row r="4" spans="1:10" x14ac:dyDescent="0.2">
      <c r="A4" s="10">
        <v>14944</v>
      </c>
      <c r="B4" s="11">
        <v>41944</v>
      </c>
      <c r="C4" s="12">
        <v>56.18</v>
      </c>
      <c r="D4" s="12">
        <v>4.28</v>
      </c>
      <c r="E4" s="17"/>
      <c r="F4" s="8"/>
      <c r="G4" s="8"/>
      <c r="H4" s="10"/>
    </row>
    <row r="5" spans="1:10" x14ac:dyDescent="0.2">
      <c r="A5" s="10">
        <v>14945</v>
      </c>
      <c r="B5" s="11">
        <v>41944</v>
      </c>
      <c r="C5" s="12">
        <v>310.68</v>
      </c>
      <c r="D5" s="12">
        <v>23.68</v>
      </c>
      <c r="E5" s="15" t="s">
        <v>11</v>
      </c>
      <c r="F5" s="21"/>
      <c r="G5" s="22"/>
      <c r="H5" s="12"/>
    </row>
    <row r="6" spans="1:10" x14ac:dyDescent="0.2">
      <c r="A6" s="10">
        <v>14946</v>
      </c>
      <c r="B6" s="11">
        <v>41944</v>
      </c>
      <c r="C6" s="12">
        <v>18</v>
      </c>
      <c r="D6" s="12">
        <v>1.37</v>
      </c>
      <c r="E6" s="13"/>
      <c r="F6" s="18"/>
      <c r="G6" s="19"/>
      <c r="H6" s="12"/>
    </row>
    <row r="7" spans="1:10" x14ac:dyDescent="0.2">
      <c r="A7" s="10">
        <v>14947</v>
      </c>
      <c r="B7" s="11">
        <v>41944</v>
      </c>
      <c r="C7" s="12">
        <v>45.47</v>
      </c>
      <c r="D7" s="12">
        <v>3.47</v>
      </c>
      <c r="E7" s="15" t="s">
        <v>7</v>
      </c>
      <c r="F7" s="21"/>
      <c r="G7" s="22"/>
      <c r="H7" s="10"/>
    </row>
    <row r="8" spans="1:10" x14ac:dyDescent="0.2">
      <c r="A8" s="10">
        <v>14948</v>
      </c>
      <c r="B8" s="11">
        <v>41944</v>
      </c>
      <c r="C8" s="12">
        <v>14.07</v>
      </c>
      <c r="D8" s="12">
        <v>1.07</v>
      </c>
      <c r="E8" s="17"/>
      <c r="H8" s="10"/>
    </row>
    <row r="9" spans="1:10" x14ac:dyDescent="0.2">
      <c r="A9" s="10">
        <v>14949</v>
      </c>
      <c r="B9" s="11">
        <v>41944</v>
      </c>
      <c r="C9" s="12">
        <v>138.56</v>
      </c>
      <c r="D9" s="12">
        <v>10.56</v>
      </c>
      <c r="E9" s="17"/>
      <c r="F9" s="18"/>
      <c r="G9" s="19"/>
      <c r="H9" s="12"/>
    </row>
    <row r="10" spans="1:10" x14ac:dyDescent="0.2">
      <c r="A10" s="10">
        <v>14950</v>
      </c>
      <c r="B10" s="11">
        <v>41944</v>
      </c>
      <c r="C10" s="12">
        <v>19</v>
      </c>
      <c r="D10" s="12">
        <v>1.45</v>
      </c>
      <c r="E10" s="17"/>
      <c r="H10" s="12"/>
    </row>
    <row r="11" spans="1:10" x14ac:dyDescent="0.2">
      <c r="A11" s="10">
        <v>14951</v>
      </c>
      <c r="B11" s="11">
        <v>41944</v>
      </c>
      <c r="C11" s="12">
        <v>124.49</v>
      </c>
      <c r="D11" s="12">
        <v>9.49</v>
      </c>
      <c r="E11" s="15" t="s">
        <v>7</v>
      </c>
      <c r="F11" s="21"/>
      <c r="G11" s="22"/>
      <c r="H11" s="10"/>
    </row>
    <row r="12" spans="1:10" x14ac:dyDescent="0.2">
      <c r="A12" s="10">
        <v>14952</v>
      </c>
      <c r="B12" s="11">
        <v>41944</v>
      </c>
      <c r="C12" s="12">
        <v>302.02</v>
      </c>
      <c r="D12" s="12">
        <v>23.02</v>
      </c>
      <c r="E12" s="15" t="s">
        <v>11</v>
      </c>
      <c r="F12" s="21"/>
      <c r="G12" s="22"/>
      <c r="H12" s="12"/>
    </row>
    <row r="13" spans="1:10" x14ac:dyDescent="0.2">
      <c r="A13" s="10">
        <v>14953</v>
      </c>
      <c r="B13" s="11">
        <v>41944</v>
      </c>
      <c r="C13" s="12">
        <v>125</v>
      </c>
      <c r="D13" s="12">
        <v>9.5299999999999994</v>
      </c>
      <c r="E13" s="17"/>
      <c r="F13" s="33">
        <f>+C3+160.68+C7+C11+C12+38.97</f>
        <v>696.47</v>
      </c>
      <c r="G13" s="34">
        <v>690.71</v>
      </c>
      <c r="H13" s="12"/>
    </row>
    <row r="14" spans="1:10" x14ac:dyDescent="0.2">
      <c r="A14" s="10">
        <v>14954</v>
      </c>
      <c r="B14" s="11">
        <v>41946</v>
      </c>
      <c r="C14" s="12">
        <v>28.09</v>
      </c>
      <c r="D14" s="12">
        <v>2.14</v>
      </c>
      <c r="E14" s="15" t="s">
        <v>7</v>
      </c>
      <c r="F14" s="21"/>
      <c r="G14" s="22"/>
      <c r="H14" s="12"/>
    </row>
    <row r="15" spans="1:10" x14ac:dyDescent="0.2">
      <c r="A15" s="10">
        <v>14955</v>
      </c>
      <c r="B15" s="11">
        <v>41946</v>
      </c>
      <c r="C15" s="12">
        <v>238.69</v>
      </c>
      <c r="D15" s="12">
        <v>18.190000000000001</v>
      </c>
      <c r="E15" s="15" t="s">
        <v>7</v>
      </c>
      <c r="F15" s="21"/>
      <c r="G15" s="22"/>
      <c r="H15" s="12"/>
    </row>
    <row r="16" spans="1:10" x14ac:dyDescent="0.2">
      <c r="A16" s="10">
        <v>14956</v>
      </c>
      <c r="B16" s="11">
        <v>41946</v>
      </c>
      <c r="C16" s="12">
        <v>280.37</v>
      </c>
      <c r="D16" s="12">
        <v>21.37</v>
      </c>
      <c r="E16" s="15" t="s">
        <v>11</v>
      </c>
      <c r="H16" s="12"/>
    </row>
    <row r="17" spans="1:8" x14ac:dyDescent="0.2">
      <c r="A17" s="10">
        <v>14957</v>
      </c>
      <c r="B17" s="11">
        <v>41946</v>
      </c>
      <c r="C17" s="12">
        <v>185.11</v>
      </c>
      <c r="D17" s="12">
        <v>14.11</v>
      </c>
      <c r="E17" s="15" t="s">
        <v>11</v>
      </c>
      <c r="H17" s="12"/>
    </row>
    <row r="18" spans="1:8" x14ac:dyDescent="0.2">
      <c r="A18" s="10">
        <v>14958</v>
      </c>
      <c r="B18" s="11">
        <v>41946</v>
      </c>
      <c r="C18" s="12">
        <v>180.24</v>
      </c>
      <c r="D18" s="12">
        <v>13.74</v>
      </c>
      <c r="E18" s="13" t="s">
        <v>46</v>
      </c>
    </row>
    <row r="19" spans="1:8" x14ac:dyDescent="0.2">
      <c r="A19" s="10">
        <v>14959</v>
      </c>
      <c r="B19" s="11">
        <v>41946</v>
      </c>
      <c r="C19" s="12">
        <v>-27.06</v>
      </c>
      <c r="D19" s="12">
        <v>-2.06</v>
      </c>
      <c r="E19" s="15" t="s">
        <v>11</v>
      </c>
    </row>
    <row r="20" spans="1:8" x14ac:dyDescent="0.2">
      <c r="A20" s="10">
        <v>14960</v>
      </c>
      <c r="B20" s="11">
        <v>41946</v>
      </c>
      <c r="C20" s="12">
        <v>240.32</v>
      </c>
      <c r="D20" s="12">
        <v>18.32</v>
      </c>
      <c r="E20" s="15" t="s">
        <v>7</v>
      </c>
    </row>
    <row r="21" spans="1:8" x14ac:dyDescent="0.2">
      <c r="A21" s="10">
        <v>14961</v>
      </c>
      <c r="B21" s="11">
        <v>41946</v>
      </c>
      <c r="C21" s="12">
        <v>160.21</v>
      </c>
      <c r="D21" s="12">
        <v>12.21</v>
      </c>
      <c r="E21" s="15" t="s">
        <v>47</v>
      </c>
    </row>
    <row r="22" spans="1:8" x14ac:dyDescent="0.2">
      <c r="A22" s="10">
        <v>14962</v>
      </c>
      <c r="B22" s="11">
        <v>41946</v>
      </c>
      <c r="C22" s="12">
        <v>444.37</v>
      </c>
      <c r="D22" s="12">
        <v>33.869999999999997</v>
      </c>
      <c r="E22" s="15" t="s">
        <v>48</v>
      </c>
    </row>
    <row r="23" spans="1:8" x14ac:dyDescent="0.2">
      <c r="A23" s="10">
        <v>14963</v>
      </c>
      <c r="B23" s="11">
        <v>41946</v>
      </c>
      <c r="C23" s="12">
        <v>24.9</v>
      </c>
      <c r="D23" s="12">
        <v>1.9</v>
      </c>
      <c r="E23" s="15" t="s">
        <v>11</v>
      </c>
    </row>
    <row r="24" spans="1:8" x14ac:dyDescent="0.2">
      <c r="A24" s="10">
        <v>14964</v>
      </c>
      <c r="B24" s="11">
        <v>41946</v>
      </c>
      <c r="C24" s="12">
        <v>213.25</v>
      </c>
      <c r="D24" s="12">
        <v>16.25</v>
      </c>
      <c r="E24" s="15" t="s">
        <v>11</v>
      </c>
    </row>
    <row r="25" spans="1:8" x14ac:dyDescent="0.2">
      <c r="A25" s="10">
        <v>14965</v>
      </c>
      <c r="B25" s="11">
        <v>41946</v>
      </c>
      <c r="C25" s="12">
        <v>18.350000000000001</v>
      </c>
      <c r="D25" s="12">
        <v>1.4</v>
      </c>
      <c r="E25" s="15" t="s">
        <v>11</v>
      </c>
      <c r="F25" s="21"/>
      <c r="G25" s="22"/>
    </row>
    <row r="26" spans="1:8" x14ac:dyDescent="0.2">
      <c r="A26" s="10">
        <v>14966</v>
      </c>
      <c r="B26" s="11">
        <v>41946</v>
      </c>
      <c r="C26" s="12">
        <v>9.69</v>
      </c>
      <c r="D26" s="12">
        <v>0.74</v>
      </c>
      <c r="E26" s="15" t="s">
        <v>11</v>
      </c>
      <c r="F26" s="33">
        <f>+C15+C16+C14+191.87+C17+C19+C23+69.61+C20+C24+C25+C26</f>
        <v>1473.19</v>
      </c>
      <c r="G26" s="34">
        <v>1449.83</v>
      </c>
    </row>
    <row r="27" spans="1:8" x14ac:dyDescent="0.2">
      <c r="A27" s="10">
        <v>14967</v>
      </c>
      <c r="B27" s="11">
        <v>41947</v>
      </c>
      <c r="C27" s="12">
        <v>138.02000000000001</v>
      </c>
      <c r="D27" s="12">
        <v>10.52</v>
      </c>
      <c r="E27" s="15" t="s">
        <v>13</v>
      </c>
      <c r="F27" s="21"/>
      <c r="G27" s="22"/>
    </row>
    <row r="28" spans="1:8" x14ac:dyDescent="0.2">
      <c r="A28" s="10">
        <v>14968</v>
      </c>
      <c r="B28" s="11">
        <v>41947</v>
      </c>
      <c r="C28" s="12">
        <v>14</v>
      </c>
      <c r="D28" s="12"/>
      <c r="E28" s="15" t="s">
        <v>49</v>
      </c>
    </row>
    <row r="29" spans="1:8" x14ac:dyDescent="0.2">
      <c r="A29" s="10">
        <v>14969</v>
      </c>
      <c r="B29" s="11">
        <v>41947</v>
      </c>
      <c r="C29" s="12">
        <v>13.95</v>
      </c>
      <c r="D29" s="12">
        <v>1.05</v>
      </c>
      <c r="E29" s="15" t="s">
        <v>50</v>
      </c>
      <c r="F29" s="21"/>
      <c r="G29" s="22"/>
    </row>
    <row r="30" spans="1:8" x14ac:dyDescent="0.2">
      <c r="A30" s="10">
        <v>14970</v>
      </c>
      <c r="B30" s="11">
        <v>41947</v>
      </c>
      <c r="C30" s="12">
        <v>-23.82</v>
      </c>
      <c r="D30" s="12">
        <v>-1.82</v>
      </c>
      <c r="E30" s="13"/>
      <c r="F30" s="18"/>
      <c r="G30" s="19"/>
    </row>
    <row r="31" spans="1:8" x14ac:dyDescent="0.2">
      <c r="A31" s="10">
        <v>14971</v>
      </c>
      <c r="B31" s="11">
        <v>41947</v>
      </c>
      <c r="C31" s="12">
        <v>30.26</v>
      </c>
      <c r="D31" s="12">
        <v>2.31</v>
      </c>
      <c r="E31" s="15" t="s">
        <v>11</v>
      </c>
    </row>
    <row r="32" spans="1:8" x14ac:dyDescent="0.2">
      <c r="A32" s="10">
        <v>14972</v>
      </c>
      <c r="B32" s="11">
        <v>41947</v>
      </c>
      <c r="C32" s="12">
        <v>181.86</v>
      </c>
      <c r="D32" s="12">
        <v>13.86</v>
      </c>
      <c r="E32" s="15" t="s">
        <v>7</v>
      </c>
    </row>
    <row r="33" spans="1:9" x14ac:dyDescent="0.2">
      <c r="A33" s="10">
        <v>14973</v>
      </c>
      <c r="B33" s="11">
        <v>41947</v>
      </c>
      <c r="C33" s="12">
        <v>45</v>
      </c>
      <c r="D33" s="12">
        <v>3.43</v>
      </c>
      <c r="E33" s="17"/>
    </row>
    <row r="34" spans="1:9" x14ac:dyDescent="0.2">
      <c r="A34" s="10">
        <v>14974</v>
      </c>
      <c r="B34" s="11">
        <v>41947</v>
      </c>
      <c r="C34" s="12">
        <v>204.27</v>
      </c>
      <c r="D34" s="12">
        <v>15.57</v>
      </c>
      <c r="E34" s="15" t="s">
        <v>7</v>
      </c>
      <c r="F34" s="21"/>
      <c r="G34" s="22"/>
    </row>
    <row r="35" spans="1:9" x14ac:dyDescent="0.2">
      <c r="A35" s="10">
        <v>14975</v>
      </c>
      <c r="B35" s="11">
        <v>41947</v>
      </c>
      <c r="C35" s="12">
        <v>232.52</v>
      </c>
      <c r="D35" s="12">
        <v>17.72</v>
      </c>
      <c r="E35" s="17"/>
    </row>
    <row r="36" spans="1:9" x14ac:dyDescent="0.2">
      <c r="A36" s="10">
        <v>14976</v>
      </c>
      <c r="B36" s="11">
        <v>41947</v>
      </c>
      <c r="C36" s="12">
        <v>58.46</v>
      </c>
      <c r="D36" s="12">
        <v>4.46</v>
      </c>
      <c r="E36" s="15" t="s">
        <v>11</v>
      </c>
      <c r="F36" s="21"/>
      <c r="G36" s="22"/>
    </row>
    <row r="37" spans="1:9" x14ac:dyDescent="0.2">
      <c r="A37" s="10">
        <v>14977</v>
      </c>
      <c r="B37" s="11">
        <v>41947</v>
      </c>
      <c r="C37" s="12">
        <v>32</v>
      </c>
      <c r="D37" s="12">
        <v>2.44</v>
      </c>
      <c r="E37" s="17"/>
    </row>
    <row r="38" spans="1:9" x14ac:dyDescent="0.2">
      <c r="A38" s="10">
        <v>14978</v>
      </c>
      <c r="B38" s="11">
        <v>41947</v>
      </c>
      <c r="C38" s="12">
        <v>30.2</v>
      </c>
      <c r="D38" s="12">
        <v>2.2999999999999998</v>
      </c>
      <c r="E38" s="15" t="s">
        <v>11</v>
      </c>
    </row>
    <row r="39" spans="1:9" x14ac:dyDescent="0.2">
      <c r="A39" s="10">
        <v>14979</v>
      </c>
      <c r="B39" s="11">
        <v>41947</v>
      </c>
      <c r="C39" s="12">
        <v>296.44</v>
      </c>
      <c r="D39" s="12">
        <v>22.59</v>
      </c>
      <c r="E39" s="15" t="s">
        <v>51</v>
      </c>
    </row>
    <row r="40" spans="1:9" x14ac:dyDescent="0.2">
      <c r="A40" s="10">
        <v>14980</v>
      </c>
      <c r="B40" s="11">
        <v>41947</v>
      </c>
      <c r="C40" s="12">
        <v>124</v>
      </c>
      <c r="D40" s="12">
        <v>9.4499999999999993</v>
      </c>
      <c r="E40" s="17"/>
    </row>
    <row r="41" spans="1:9" x14ac:dyDescent="0.2">
      <c r="A41" s="10">
        <v>14981</v>
      </c>
      <c r="B41" s="11">
        <v>41947</v>
      </c>
      <c r="C41" s="12">
        <v>34.64</v>
      </c>
      <c r="D41" s="12">
        <v>2.64</v>
      </c>
      <c r="E41" s="15" t="s">
        <v>11</v>
      </c>
      <c r="F41" s="33">
        <f>+C27+C31+C32+C34+C36+C38+C41</f>
        <v>677.71</v>
      </c>
      <c r="G41" s="34">
        <v>663.59</v>
      </c>
      <c r="H41" s="10"/>
      <c r="I41" s="10"/>
    </row>
    <row r="42" spans="1:9" x14ac:dyDescent="0.2">
      <c r="A42" s="10">
        <v>14982</v>
      </c>
      <c r="B42" s="11">
        <v>41948</v>
      </c>
      <c r="C42" s="12">
        <v>23.82</v>
      </c>
      <c r="D42" s="12">
        <v>1.82</v>
      </c>
      <c r="E42" s="17"/>
    </row>
    <row r="43" spans="1:9" x14ac:dyDescent="0.2">
      <c r="A43" s="10">
        <v>14983</v>
      </c>
      <c r="B43" s="11">
        <v>41948</v>
      </c>
      <c r="C43" s="12">
        <v>77.930000000000007</v>
      </c>
      <c r="D43" s="12">
        <v>5.94</v>
      </c>
      <c r="E43" s="15" t="s">
        <v>52</v>
      </c>
    </row>
    <row r="44" spans="1:9" x14ac:dyDescent="0.2">
      <c r="A44" s="10">
        <v>14984</v>
      </c>
      <c r="B44" s="11">
        <v>41948</v>
      </c>
      <c r="C44" s="12">
        <v>358.31</v>
      </c>
      <c r="D44" s="12">
        <v>27.31</v>
      </c>
      <c r="E44" s="15" t="s">
        <v>11</v>
      </c>
    </row>
    <row r="45" spans="1:9" x14ac:dyDescent="0.2">
      <c r="A45" s="10">
        <v>14985</v>
      </c>
      <c r="B45" s="11">
        <v>41948</v>
      </c>
      <c r="C45" s="12">
        <v>227.33</v>
      </c>
      <c r="D45" s="12">
        <v>17.329999999999998</v>
      </c>
      <c r="E45" s="17"/>
      <c r="F45" s="18"/>
      <c r="G45" s="19"/>
    </row>
    <row r="46" spans="1:9" x14ac:dyDescent="0.2">
      <c r="A46" s="10">
        <v>14986</v>
      </c>
      <c r="B46" s="11">
        <v>41948</v>
      </c>
      <c r="C46" s="12">
        <v>161.29</v>
      </c>
      <c r="D46" s="12">
        <v>12.29</v>
      </c>
      <c r="E46" s="15" t="s">
        <v>7</v>
      </c>
      <c r="F46" s="21"/>
      <c r="G46" s="22"/>
    </row>
    <row r="47" spans="1:9" x14ac:dyDescent="0.2">
      <c r="A47" s="10">
        <v>14987</v>
      </c>
      <c r="B47" s="11">
        <v>41948</v>
      </c>
      <c r="C47" s="12">
        <v>357.23</v>
      </c>
      <c r="D47" s="12">
        <v>27.23</v>
      </c>
      <c r="E47" s="15" t="s">
        <v>7</v>
      </c>
    </row>
    <row r="48" spans="1:9" x14ac:dyDescent="0.2">
      <c r="A48" s="10">
        <v>14988</v>
      </c>
      <c r="B48" s="11">
        <v>41948</v>
      </c>
      <c r="C48" s="12">
        <v>226.78</v>
      </c>
      <c r="D48" s="12">
        <v>17.28</v>
      </c>
      <c r="E48" s="15" t="s">
        <v>11</v>
      </c>
    </row>
    <row r="49" spans="1:7" x14ac:dyDescent="0.2">
      <c r="A49" s="10">
        <v>14989</v>
      </c>
      <c r="B49" s="11">
        <v>41948</v>
      </c>
      <c r="C49" s="12">
        <v>180</v>
      </c>
      <c r="D49" s="12"/>
      <c r="E49" s="15" t="s">
        <v>53</v>
      </c>
      <c r="F49" s="21"/>
      <c r="G49" s="22"/>
    </row>
    <row r="50" spans="1:7" x14ac:dyDescent="0.2">
      <c r="A50" s="10">
        <v>14990</v>
      </c>
      <c r="B50" s="11">
        <v>41948</v>
      </c>
      <c r="C50" s="12">
        <v>180</v>
      </c>
      <c r="D50" s="12"/>
      <c r="E50" s="15" t="s">
        <v>53</v>
      </c>
      <c r="F50" s="34">
        <f>+C44+C46+50+C47+C48</f>
        <v>1153.6100000000001</v>
      </c>
      <c r="G50" s="34">
        <v>1143.4000000000001</v>
      </c>
    </row>
    <row r="51" spans="1:7" x14ac:dyDescent="0.2">
      <c r="A51" s="10">
        <v>14991</v>
      </c>
      <c r="B51" s="11">
        <v>41949</v>
      </c>
      <c r="C51" s="12">
        <v>64.95</v>
      </c>
      <c r="D51" s="12">
        <v>4.95</v>
      </c>
      <c r="E51" s="15" t="s">
        <v>11</v>
      </c>
    </row>
    <row r="52" spans="1:7" x14ac:dyDescent="0.2">
      <c r="A52" s="10">
        <v>14992</v>
      </c>
      <c r="B52" s="11">
        <v>41949</v>
      </c>
      <c r="C52" s="12">
        <v>87.68</v>
      </c>
      <c r="D52" s="12">
        <v>6.68</v>
      </c>
      <c r="E52" s="15" t="s">
        <v>7</v>
      </c>
    </row>
    <row r="53" spans="1:7" x14ac:dyDescent="0.2">
      <c r="A53" s="10">
        <v>14993</v>
      </c>
      <c r="B53" s="11">
        <v>41949</v>
      </c>
      <c r="C53" s="12">
        <v>19.489999999999998</v>
      </c>
      <c r="D53" s="12">
        <v>1.49</v>
      </c>
      <c r="E53" s="17"/>
    </row>
    <row r="54" spans="1:7" x14ac:dyDescent="0.2">
      <c r="A54" s="10">
        <v>14994</v>
      </c>
      <c r="B54" s="11">
        <v>41949</v>
      </c>
      <c r="C54" s="12">
        <v>250</v>
      </c>
      <c r="D54" s="12">
        <v>19.05</v>
      </c>
      <c r="E54" s="17"/>
    </row>
    <row r="55" spans="1:7" x14ac:dyDescent="0.2">
      <c r="A55" s="10">
        <v>14995</v>
      </c>
      <c r="B55" s="11">
        <v>41949</v>
      </c>
      <c r="C55" s="12">
        <v>20.57</v>
      </c>
      <c r="D55" s="12">
        <v>1.57</v>
      </c>
      <c r="E55" s="15" t="s">
        <v>11</v>
      </c>
      <c r="F55" s="21"/>
      <c r="G55" s="22"/>
    </row>
    <row r="56" spans="1:7" x14ac:dyDescent="0.2">
      <c r="A56" s="10">
        <v>14996</v>
      </c>
      <c r="B56" s="11">
        <v>41949</v>
      </c>
      <c r="C56" s="12">
        <v>139.63999999999999</v>
      </c>
      <c r="D56" s="12">
        <v>10.64</v>
      </c>
      <c r="E56" s="15" t="s">
        <v>11</v>
      </c>
    </row>
    <row r="57" spans="1:7" x14ac:dyDescent="0.2">
      <c r="A57" s="10">
        <v>14997</v>
      </c>
      <c r="B57" s="11">
        <v>41949</v>
      </c>
      <c r="C57" s="12">
        <v>17.27</v>
      </c>
      <c r="D57" s="12">
        <v>1.32</v>
      </c>
      <c r="E57" s="15" t="s">
        <v>11</v>
      </c>
    </row>
    <row r="58" spans="1:7" x14ac:dyDescent="0.2">
      <c r="A58" s="10">
        <v>14998</v>
      </c>
      <c r="B58" s="11">
        <v>41949</v>
      </c>
      <c r="C58" s="12">
        <v>37.89</v>
      </c>
      <c r="D58" s="12">
        <v>2.89</v>
      </c>
      <c r="E58" s="15" t="s">
        <v>11</v>
      </c>
    </row>
    <row r="59" spans="1:7" x14ac:dyDescent="0.2">
      <c r="A59" s="10">
        <v>14999</v>
      </c>
      <c r="B59" s="11">
        <v>41949</v>
      </c>
      <c r="C59" s="12">
        <v>19</v>
      </c>
      <c r="D59" s="12">
        <v>1.45</v>
      </c>
      <c r="E59" s="17"/>
      <c r="F59" s="34">
        <f>+C52+C55+C57+C51+C56+C58+14</f>
        <v>382</v>
      </c>
      <c r="G59" s="34">
        <v>374.94</v>
      </c>
    </row>
    <row r="60" spans="1:7" x14ac:dyDescent="0.2">
      <c r="A60" s="10">
        <v>15000</v>
      </c>
      <c r="B60" s="11">
        <v>41950</v>
      </c>
      <c r="C60" s="12">
        <v>195.9</v>
      </c>
      <c r="D60" s="12">
        <v>14.93</v>
      </c>
      <c r="E60" s="15" t="s">
        <v>54</v>
      </c>
    </row>
    <row r="61" spans="1:7" x14ac:dyDescent="0.2">
      <c r="A61" s="10">
        <v>15001</v>
      </c>
      <c r="B61" s="11">
        <v>41950</v>
      </c>
      <c r="C61" s="12">
        <v>21.63</v>
      </c>
      <c r="D61" s="12">
        <v>1.65</v>
      </c>
      <c r="E61" s="17"/>
      <c r="F61" s="18"/>
      <c r="G61" s="19"/>
    </row>
    <row r="62" spans="1:7" x14ac:dyDescent="0.2">
      <c r="A62" s="10">
        <v>15002</v>
      </c>
      <c r="B62" s="11">
        <v>41950</v>
      </c>
      <c r="C62" s="12">
        <v>180</v>
      </c>
      <c r="D62" s="12"/>
      <c r="E62" s="15" t="s">
        <v>11</v>
      </c>
      <c r="F62" s="21"/>
      <c r="G62" s="22"/>
    </row>
    <row r="63" spans="1:7" x14ac:dyDescent="0.2">
      <c r="A63" s="10">
        <v>15003</v>
      </c>
      <c r="B63" s="11">
        <v>41950</v>
      </c>
      <c r="C63" s="12">
        <v>180</v>
      </c>
      <c r="D63" s="12"/>
      <c r="E63" s="15" t="s">
        <v>11</v>
      </c>
    </row>
    <row r="64" spans="1:7" x14ac:dyDescent="0.2">
      <c r="A64" s="10">
        <v>15004</v>
      </c>
      <c r="B64" s="11">
        <v>41950</v>
      </c>
      <c r="C64" s="12">
        <v>94.18</v>
      </c>
      <c r="D64" s="12">
        <v>7.18</v>
      </c>
      <c r="E64" s="15" t="s">
        <v>21</v>
      </c>
    </row>
    <row r="65" spans="1:9" x14ac:dyDescent="0.2">
      <c r="A65" s="10">
        <v>15005</v>
      </c>
      <c r="B65" s="11">
        <v>41950</v>
      </c>
      <c r="C65" s="12">
        <v>251.14</v>
      </c>
      <c r="D65" s="12">
        <v>19.14</v>
      </c>
      <c r="E65" s="15" t="s">
        <v>55</v>
      </c>
    </row>
    <row r="66" spans="1:9" x14ac:dyDescent="0.2">
      <c r="A66" s="10">
        <v>15006</v>
      </c>
      <c r="B66" s="11">
        <v>41950</v>
      </c>
      <c r="C66" s="12">
        <v>129.9</v>
      </c>
      <c r="D66" s="12">
        <v>9.9</v>
      </c>
      <c r="E66" s="17"/>
    </row>
    <row r="67" spans="1:9" x14ac:dyDescent="0.2">
      <c r="A67" s="10">
        <v>15007</v>
      </c>
      <c r="B67" s="11">
        <v>41950</v>
      </c>
      <c r="C67" s="12">
        <v>34.07</v>
      </c>
      <c r="D67" s="12">
        <v>1.07</v>
      </c>
      <c r="E67" s="17"/>
      <c r="F67" s="18"/>
      <c r="G67" s="19"/>
    </row>
    <row r="68" spans="1:9" x14ac:dyDescent="0.2">
      <c r="A68" s="10">
        <v>15008</v>
      </c>
      <c r="B68" s="11">
        <v>41950</v>
      </c>
      <c r="C68" s="12">
        <v>16.18</v>
      </c>
      <c r="D68" s="12">
        <v>1.23</v>
      </c>
      <c r="E68" s="17"/>
      <c r="F68" s="18"/>
      <c r="G68" s="19"/>
    </row>
    <row r="69" spans="1:9" x14ac:dyDescent="0.2">
      <c r="A69" s="10">
        <v>15009</v>
      </c>
      <c r="B69" s="11">
        <v>41950</v>
      </c>
      <c r="C69" s="12">
        <v>87.68</v>
      </c>
      <c r="D69" s="12">
        <v>6.68</v>
      </c>
      <c r="E69" s="15" t="s">
        <v>56</v>
      </c>
    </row>
    <row r="70" spans="1:9" x14ac:dyDescent="0.2">
      <c r="A70" s="10">
        <v>15010</v>
      </c>
      <c r="B70" s="11">
        <v>41950</v>
      </c>
      <c r="C70" s="12">
        <v>99.48</v>
      </c>
      <c r="D70" s="12">
        <v>7.58</v>
      </c>
      <c r="E70" s="15" t="s">
        <v>57</v>
      </c>
      <c r="F70" s="20">
        <f>+C49+C50+C62+C63+150+C60+27.93</f>
        <v>1093.8300000000002</v>
      </c>
      <c r="G70" s="20">
        <v>1066.28</v>
      </c>
      <c r="H70" s="10"/>
      <c r="I70" s="10"/>
    </row>
    <row r="71" spans="1:9" x14ac:dyDescent="0.2">
      <c r="A71" s="10">
        <v>15011</v>
      </c>
      <c r="B71" s="11">
        <v>41951</v>
      </c>
      <c r="C71" s="12">
        <v>32.479999999999997</v>
      </c>
      <c r="D71" s="12">
        <v>2.48</v>
      </c>
      <c r="E71" s="15" t="s">
        <v>7</v>
      </c>
      <c r="F71" s="21"/>
      <c r="G71" s="22"/>
    </row>
    <row r="72" spans="1:9" x14ac:dyDescent="0.2">
      <c r="A72" s="10">
        <v>15012</v>
      </c>
      <c r="B72" s="11">
        <v>41951</v>
      </c>
      <c r="C72" s="12">
        <v>17.27</v>
      </c>
      <c r="D72" s="12">
        <v>1.32</v>
      </c>
      <c r="E72" s="15" t="s">
        <v>11</v>
      </c>
    </row>
    <row r="73" spans="1:9" x14ac:dyDescent="0.2">
      <c r="A73" s="10">
        <v>15013</v>
      </c>
      <c r="B73" s="11">
        <v>41951</v>
      </c>
      <c r="C73" s="12">
        <v>24.3</v>
      </c>
      <c r="D73" s="12">
        <v>1.85</v>
      </c>
      <c r="E73" s="17"/>
    </row>
    <row r="74" spans="1:9" x14ac:dyDescent="0.2">
      <c r="A74" s="10">
        <v>15014</v>
      </c>
      <c r="B74" s="11">
        <v>41951</v>
      </c>
      <c r="C74" s="12">
        <v>133.15</v>
      </c>
      <c r="D74" s="12">
        <v>10.15</v>
      </c>
      <c r="E74" s="17"/>
      <c r="F74" s="18"/>
      <c r="G74" s="19"/>
    </row>
    <row r="75" spans="1:9" x14ac:dyDescent="0.2">
      <c r="A75" s="10">
        <v>15015</v>
      </c>
      <c r="B75" s="11">
        <v>41951</v>
      </c>
      <c r="C75" s="12">
        <v>20</v>
      </c>
      <c r="D75" s="12">
        <v>1.52</v>
      </c>
      <c r="E75" s="17"/>
    </row>
    <row r="76" spans="1:9" x14ac:dyDescent="0.2">
      <c r="A76" s="10">
        <v>15016</v>
      </c>
      <c r="B76" s="11">
        <v>41951</v>
      </c>
      <c r="C76" s="12">
        <v>20</v>
      </c>
      <c r="D76" s="12"/>
      <c r="E76" s="13" t="s">
        <v>58</v>
      </c>
    </row>
    <row r="77" spans="1:9" x14ac:dyDescent="0.2">
      <c r="A77" s="10">
        <v>15017</v>
      </c>
      <c r="B77" s="11">
        <v>41951</v>
      </c>
      <c r="C77" s="12">
        <v>52.93</v>
      </c>
      <c r="D77" s="12">
        <v>4.03</v>
      </c>
      <c r="E77" s="15" t="s">
        <v>11</v>
      </c>
    </row>
    <row r="78" spans="1:9" x14ac:dyDescent="0.2">
      <c r="A78" s="10">
        <v>15018</v>
      </c>
      <c r="B78" s="11">
        <v>41951</v>
      </c>
      <c r="C78" s="12">
        <v>21.65</v>
      </c>
      <c r="D78" s="12">
        <v>1.65</v>
      </c>
      <c r="E78" s="15" t="s">
        <v>11</v>
      </c>
    </row>
    <row r="79" spans="1:9" x14ac:dyDescent="0.2">
      <c r="A79" s="10">
        <v>15019</v>
      </c>
      <c r="B79" s="11">
        <v>41951</v>
      </c>
      <c r="C79" s="12">
        <v>28.69</v>
      </c>
      <c r="D79" s="12">
        <v>2.19</v>
      </c>
      <c r="E79" s="17"/>
      <c r="F79" s="18"/>
      <c r="G79" s="19"/>
    </row>
    <row r="80" spans="1:9" x14ac:dyDescent="0.2">
      <c r="A80" s="10">
        <v>15020</v>
      </c>
      <c r="B80" s="11">
        <v>41951</v>
      </c>
      <c r="C80" s="12">
        <v>322.58999999999997</v>
      </c>
      <c r="D80" s="12">
        <v>24.59</v>
      </c>
      <c r="E80" s="17"/>
      <c r="F80" s="20">
        <f>+C71+C72+C77+C78+446.44</f>
        <v>570.77</v>
      </c>
      <c r="G80" s="20">
        <v>561.94000000000005</v>
      </c>
    </row>
    <row r="81" spans="1:10" x14ac:dyDescent="0.2">
      <c r="A81" s="10">
        <v>15021</v>
      </c>
      <c r="B81" s="11">
        <v>41953</v>
      </c>
      <c r="C81" s="12">
        <v>11.91</v>
      </c>
      <c r="D81" s="12">
        <v>0.91</v>
      </c>
      <c r="E81" s="15" t="s">
        <v>21</v>
      </c>
      <c r="F81" s="35"/>
      <c r="G81" s="21"/>
      <c r="H81" s="22"/>
      <c r="I81" s="10"/>
      <c r="J81" s="10"/>
    </row>
    <row r="82" spans="1:10" x14ac:dyDescent="0.2">
      <c r="A82" s="10">
        <v>15022</v>
      </c>
      <c r="B82" s="11">
        <v>41953</v>
      </c>
      <c r="C82" s="12">
        <v>262.24</v>
      </c>
      <c r="D82" s="12">
        <v>19.989999999999998</v>
      </c>
      <c r="E82" s="15" t="s">
        <v>21</v>
      </c>
      <c r="H82" s="22"/>
      <c r="I82" s="10"/>
      <c r="J82" s="10"/>
    </row>
    <row r="83" spans="1:10" x14ac:dyDescent="0.2">
      <c r="A83" s="10">
        <v>15023</v>
      </c>
      <c r="B83" s="11">
        <v>41953</v>
      </c>
      <c r="C83" s="12">
        <v>105.00000000000001</v>
      </c>
      <c r="D83" s="12">
        <v>8.01</v>
      </c>
      <c r="E83" s="17"/>
      <c r="H83" s="19"/>
      <c r="I83" s="10"/>
      <c r="J83" s="10"/>
    </row>
    <row r="84" spans="1:10" x14ac:dyDescent="0.2">
      <c r="A84" s="10">
        <v>15024</v>
      </c>
      <c r="B84" s="11">
        <v>41953</v>
      </c>
      <c r="C84" s="12">
        <v>81.19</v>
      </c>
      <c r="D84" s="12">
        <v>6.19</v>
      </c>
      <c r="E84" s="15" t="s">
        <v>11</v>
      </c>
      <c r="H84" s="22"/>
      <c r="I84" s="10"/>
      <c r="J84" s="10"/>
    </row>
    <row r="85" spans="1:10" x14ac:dyDescent="0.2">
      <c r="A85" s="10">
        <v>15025</v>
      </c>
      <c r="B85" s="11">
        <v>41953</v>
      </c>
      <c r="C85" s="12">
        <v>70.36</v>
      </c>
      <c r="D85" s="12">
        <v>5.36</v>
      </c>
      <c r="E85" s="15" t="s">
        <v>11</v>
      </c>
      <c r="F85" s="21"/>
      <c r="G85" s="22"/>
      <c r="H85" s="22"/>
      <c r="I85" s="10"/>
      <c r="J85" s="10"/>
    </row>
    <row r="86" spans="1:10" x14ac:dyDescent="0.2">
      <c r="A86" s="10">
        <v>15026</v>
      </c>
      <c r="B86" s="11">
        <v>41953</v>
      </c>
      <c r="C86" s="12">
        <v>96</v>
      </c>
      <c r="D86" s="12">
        <v>8.31</v>
      </c>
      <c r="E86" s="17"/>
      <c r="F86" s="20">
        <f>+C84+C85</f>
        <v>151.55000000000001</v>
      </c>
      <c r="G86" s="20">
        <v>149.94</v>
      </c>
      <c r="H86" s="19"/>
      <c r="I86" s="10"/>
      <c r="J86" s="10"/>
    </row>
    <row r="87" spans="1:10" x14ac:dyDescent="0.2">
      <c r="A87" s="10">
        <v>15027</v>
      </c>
      <c r="B87" s="11">
        <v>41954</v>
      </c>
      <c r="C87" s="12">
        <v>80</v>
      </c>
      <c r="D87" s="12">
        <v>6.1</v>
      </c>
      <c r="E87" s="15" t="s">
        <v>21</v>
      </c>
      <c r="H87" s="22"/>
      <c r="I87" s="10"/>
      <c r="J87" s="10"/>
    </row>
    <row r="88" spans="1:10" x14ac:dyDescent="0.2">
      <c r="A88" s="10">
        <v>15028</v>
      </c>
      <c r="B88" s="11">
        <v>41954</v>
      </c>
      <c r="C88" s="12">
        <v>230.03</v>
      </c>
      <c r="D88" s="12">
        <v>17.53</v>
      </c>
      <c r="E88" s="15" t="s">
        <v>11</v>
      </c>
      <c r="H88" s="22"/>
      <c r="I88" s="10"/>
      <c r="J88" s="10"/>
    </row>
    <row r="89" spans="1:10" x14ac:dyDescent="0.2">
      <c r="A89" s="10">
        <v>15029</v>
      </c>
      <c r="B89" s="11">
        <v>41954</v>
      </c>
      <c r="C89" s="12">
        <v>2.11</v>
      </c>
      <c r="D89" s="12">
        <v>0.16</v>
      </c>
      <c r="E89" s="17"/>
      <c r="F89" s="20">
        <f>+C88</f>
        <v>230.03</v>
      </c>
      <c r="G89" s="20">
        <v>228.93</v>
      </c>
      <c r="H89" s="19"/>
      <c r="I89" s="10"/>
      <c r="J89" s="10"/>
    </row>
    <row r="90" spans="1:10" x14ac:dyDescent="0.2">
      <c r="A90" s="10">
        <v>15030</v>
      </c>
      <c r="B90" s="11">
        <v>41955</v>
      </c>
      <c r="C90" s="12">
        <v>1.5</v>
      </c>
      <c r="D90" s="12"/>
      <c r="E90" s="15" t="s">
        <v>11</v>
      </c>
      <c r="H90" s="22"/>
      <c r="I90" s="10"/>
      <c r="J90" s="10"/>
    </row>
    <row r="91" spans="1:10" x14ac:dyDescent="0.2">
      <c r="A91" s="10">
        <v>15031</v>
      </c>
      <c r="B91" s="11">
        <v>41955</v>
      </c>
      <c r="C91" s="12">
        <v>264.13</v>
      </c>
      <c r="D91" s="12">
        <v>20.13</v>
      </c>
      <c r="E91" s="15" t="s">
        <v>7</v>
      </c>
      <c r="H91" s="22"/>
      <c r="I91" s="10"/>
      <c r="J91" s="10"/>
    </row>
    <row r="92" spans="1:10" x14ac:dyDescent="0.2">
      <c r="A92" s="10">
        <v>15032</v>
      </c>
      <c r="B92" s="11">
        <v>41955</v>
      </c>
      <c r="C92" s="12">
        <v>186.62</v>
      </c>
      <c r="D92" s="12">
        <v>14.22</v>
      </c>
      <c r="E92" s="15" t="s">
        <v>59</v>
      </c>
      <c r="H92" s="22"/>
      <c r="I92" s="10"/>
      <c r="J92" s="10"/>
    </row>
    <row r="93" spans="1:10" x14ac:dyDescent="0.2">
      <c r="A93" s="10">
        <v>15033</v>
      </c>
      <c r="B93" s="11">
        <v>41955</v>
      </c>
      <c r="C93" s="12">
        <v>520</v>
      </c>
      <c r="D93" s="12"/>
      <c r="E93" s="15" t="s">
        <v>60</v>
      </c>
      <c r="F93" s="20">
        <f>+C90+150</f>
        <v>151.5</v>
      </c>
      <c r="G93" s="20">
        <v>149.07</v>
      </c>
      <c r="H93" s="22"/>
      <c r="I93" s="10"/>
      <c r="J93" s="10"/>
    </row>
    <row r="94" spans="1:10" x14ac:dyDescent="0.2">
      <c r="A94" s="10">
        <v>15034</v>
      </c>
      <c r="B94" s="11">
        <v>41956</v>
      </c>
      <c r="C94" s="12">
        <v>8</v>
      </c>
      <c r="D94" s="12"/>
      <c r="E94" s="15" t="s">
        <v>25</v>
      </c>
      <c r="F94" s="21"/>
      <c r="G94" s="22"/>
      <c r="H94" s="22"/>
      <c r="I94" s="10"/>
      <c r="J94" s="10"/>
    </row>
    <row r="95" spans="1:10" x14ac:dyDescent="0.2">
      <c r="A95" s="10">
        <v>15035</v>
      </c>
      <c r="B95" s="11">
        <v>41956</v>
      </c>
      <c r="C95" s="12">
        <v>101.76</v>
      </c>
      <c r="D95" s="12">
        <v>7.76</v>
      </c>
      <c r="E95" s="15" t="s">
        <v>21</v>
      </c>
      <c r="F95" s="21"/>
      <c r="G95" s="22"/>
      <c r="H95" s="22"/>
      <c r="I95" s="10"/>
      <c r="J95" s="10"/>
    </row>
    <row r="96" spans="1:10" x14ac:dyDescent="0.2">
      <c r="A96" s="10">
        <v>15036</v>
      </c>
      <c r="B96" s="11">
        <v>41956</v>
      </c>
      <c r="C96" s="12">
        <v>150</v>
      </c>
      <c r="D96" s="12">
        <v>11.43</v>
      </c>
      <c r="E96" s="15" t="s">
        <v>11</v>
      </c>
      <c r="H96" s="22"/>
      <c r="I96" s="10"/>
      <c r="J96" s="10"/>
    </row>
    <row r="97" spans="1:10" x14ac:dyDescent="0.2">
      <c r="A97" s="10">
        <v>15037</v>
      </c>
      <c r="B97" s="11">
        <v>41956</v>
      </c>
      <c r="C97" s="12">
        <v>87.68</v>
      </c>
      <c r="D97" s="12">
        <v>6.68</v>
      </c>
      <c r="E97" s="15" t="s">
        <v>61</v>
      </c>
      <c r="H97" s="22"/>
      <c r="I97" s="10"/>
      <c r="J97" s="10"/>
    </row>
    <row r="98" spans="1:10" x14ac:dyDescent="0.2">
      <c r="A98" s="10">
        <v>15038</v>
      </c>
      <c r="B98" s="11">
        <v>41952</v>
      </c>
      <c r="C98" s="12">
        <v>148</v>
      </c>
      <c r="D98" s="12">
        <v>11.26</v>
      </c>
      <c r="E98" s="13" t="s">
        <v>62</v>
      </c>
      <c r="H98" s="19"/>
      <c r="I98" s="10"/>
      <c r="J98" s="10"/>
    </row>
    <row r="99" spans="1:10" x14ac:dyDescent="0.2">
      <c r="A99" s="10">
        <v>15039</v>
      </c>
      <c r="B99" s="11">
        <v>41956</v>
      </c>
      <c r="C99" s="12">
        <v>119</v>
      </c>
      <c r="D99" s="12"/>
      <c r="E99" s="15" t="s">
        <v>60</v>
      </c>
      <c r="F99" s="20">
        <f>+C96</f>
        <v>150</v>
      </c>
      <c r="G99" s="20">
        <v>149.16999999999999</v>
      </c>
      <c r="H99" s="22"/>
      <c r="I99" s="10"/>
      <c r="J99" s="10"/>
    </row>
    <row r="100" spans="1:10" x14ac:dyDescent="0.2">
      <c r="A100" s="10">
        <v>15040</v>
      </c>
      <c r="B100" s="11">
        <v>41957</v>
      </c>
      <c r="C100" s="12">
        <v>162.38</v>
      </c>
      <c r="D100" s="12">
        <v>12.38</v>
      </c>
      <c r="E100" s="17"/>
      <c r="F100" s="18"/>
      <c r="G100" s="19"/>
      <c r="H100" s="19"/>
      <c r="I100" s="10"/>
      <c r="J100" s="10"/>
    </row>
    <row r="101" spans="1:10" x14ac:dyDescent="0.2">
      <c r="A101" s="10">
        <v>15041</v>
      </c>
      <c r="B101" s="11">
        <v>41957</v>
      </c>
      <c r="C101" s="12">
        <v>193.32999999999998</v>
      </c>
      <c r="D101" s="12">
        <v>14.73</v>
      </c>
      <c r="E101" s="15" t="s">
        <v>11</v>
      </c>
      <c r="H101" s="22"/>
      <c r="I101" s="10"/>
      <c r="J101" s="10"/>
    </row>
    <row r="102" spans="1:10" x14ac:dyDescent="0.2">
      <c r="A102" s="10">
        <v>15042</v>
      </c>
      <c r="B102" s="11">
        <v>41957</v>
      </c>
      <c r="C102" s="12">
        <v>182.94</v>
      </c>
      <c r="D102" s="12">
        <v>13.94</v>
      </c>
      <c r="E102" s="15" t="s">
        <v>11</v>
      </c>
      <c r="H102" s="22"/>
      <c r="I102" s="10"/>
      <c r="J102" s="10"/>
    </row>
    <row r="103" spans="1:10" x14ac:dyDescent="0.2">
      <c r="A103" s="10">
        <v>15043</v>
      </c>
      <c r="B103" s="11">
        <v>41957</v>
      </c>
      <c r="C103" s="12">
        <v>7.11</v>
      </c>
      <c r="D103" s="12"/>
      <c r="E103" s="13" t="s">
        <v>36</v>
      </c>
      <c r="H103" s="19"/>
      <c r="I103" s="10"/>
      <c r="J103" s="10"/>
    </row>
    <row r="104" spans="1:10" x14ac:dyDescent="0.2">
      <c r="A104" s="10">
        <v>15044</v>
      </c>
      <c r="B104" s="11">
        <v>41957</v>
      </c>
      <c r="C104" s="12">
        <v>59.269999999999996</v>
      </c>
      <c r="D104" s="12">
        <v>4.5199999999999996</v>
      </c>
      <c r="E104" s="15" t="s">
        <v>11</v>
      </c>
      <c r="H104" s="22"/>
      <c r="I104" s="10"/>
      <c r="J104" s="10"/>
    </row>
    <row r="105" spans="1:10" x14ac:dyDescent="0.2">
      <c r="A105" s="10">
        <v>15045</v>
      </c>
      <c r="B105" s="11">
        <v>41957</v>
      </c>
      <c r="C105" s="12">
        <v>138.56</v>
      </c>
      <c r="D105" s="12">
        <v>10.56</v>
      </c>
      <c r="E105" s="15" t="s">
        <v>11</v>
      </c>
      <c r="H105" s="22"/>
      <c r="I105" s="10"/>
      <c r="J105" s="10"/>
    </row>
    <row r="106" spans="1:10" x14ac:dyDescent="0.2">
      <c r="A106" s="10">
        <v>15046</v>
      </c>
      <c r="B106" s="11">
        <v>41957</v>
      </c>
      <c r="C106" s="12">
        <v>7.5200000000000005</v>
      </c>
      <c r="D106" s="12">
        <v>0.56999999999999995</v>
      </c>
      <c r="E106" s="17"/>
      <c r="F106" s="20">
        <f>+C101+101.76+C102+60.01+C104+C105+186.62+182.94-57.5</f>
        <v>1047.9299999999998</v>
      </c>
      <c r="G106" s="20">
        <v>1034.81</v>
      </c>
      <c r="H106" s="19"/>
      <c r="I106" s="10"/>
      <c r="J106" s="10"/>
    </row>
    <row r="107" spans="1:10" x14ac:dyDescent="0.2">
      <c r="A107" s="10">
        <v>15047</v>
      </c>
      <c r="B107" s="11">
        <v>41958</v>
      </c>
      <c r="C107" s="12">
        <v>264</v>
      </c>
      <c r="D107" s="12">
        <v>20.12</v>
      </c>
      <c r="E107" s="15" t="s">
        <v>11</v>
      </c>
      <c r="F107" s="21"/>
      <c r="G107" s="22"/>
      <c r="H107" s="22"/>
      <c r="I107" s="10"/>
      <c r="J107" s="10"/>
    </row>
    <row r="108" spans="1:10" x14ac:dyDescent="0.2">
      <c r="A108" s="10">
        <v>15048</v>
      </c>
      <c r="B108" s="11">
        <v>41958</v>
      </c>
      <c r="C108" s="12">
        <v>64.95</v>
      </c>
      <c r="D108" s="12">
        <v>4.95</v>
      </c>
      <c r="E108" s="17"/>
      <c r="H108" s="19"/>
      <c r="I108" s="10"/>
      <c r="J108" s="10"/>
    </row>
    <row r="109" spans="1:10" x14ac:dyDescent="0.2">
      <c r="A109" s="10">
        <v>15049</v>
      </c>
      <c r="B109" s="11">
        <v>41958</v>
      </c>
      <c r="C109" s="12">
        <v>27.009999999999998</v>
      </c>
      <c r="D109" s="12">
        <v>2.06</v>
      </c>
      <c r="E109" s="15" t="s">
        <v>11</v>
      </c>
      <c r="F109" s="21"/>
      <c r="G109" s="22"/>
      <c r="H109" s="22"/>
      <c r="I109" s="10"/>
      <c r="J109" s="10"/>
    </row>
    <row r="110" spans="1:10" x14ac:dyDescent="0.2">
      <c r="A110" s="10">
        <v>15050</v>
      </c>
      <c r="B110" s="11">
        <v>41958</v>
      </c>
      <c r="C110" s="12">
        <v>32.479999999999997</v>
      </c>
      <c r="D110" s="12">
        <v>2.48</v>
      </c>
      <c r="E110" s="15" t="s">
        <v>11</v>
      </c>
      <c r="H110" s="22"/>
      <c r="I110" s="10"/>
      <c r="J110" s="10"/>
    </row>
    <row r="111" spans="1:10" x14ac:dyDescent="0.2">
      <c r="A111" s="10">
        <v>15051</v>
      </c>
      <c r="B111" s="11">
        <v>41958</v>
      </c>
      <c r="C111" s="12">
        <v>19.05</v>
      </c>
      <c r="D111" s="12">
        <v>1.45</v>
      </c>
      <c r="E111" s="15" t="s">
        <v>7</v>
      </c>
      <c r="H111" s="22"/>
      <c r="I111" s="10"/>
      <c r="J111" s="10"/>
    </row>
    <row r="112" spans="1:10" x14ac:dyDescent="0.2">
      <c r="A112" s="10">
        <v>15052</v>
      </c>
      <c r="B112" s="11">
        <v>41958</v>
      </c>
      <c r="C112" s="12">
        <v>389.7</v>
      </c>
      <c r="D112" s="12">
        <v>29.7</v>
      </c>
      <c r="E112" s="15" t="s">
        <v>11</v>
      </c>
      <c r="H112" s="22"/>
      <c r="I112" s="10"/>
      <c r="J112" s="10"/>
    </row>
    <row r="113" spans="1:28" x14ac:dyDescent="0.2">
      <c r="A113" s="10">
        <v>15053</v>
      </c>
      <c r="B113" s="11">
        <v>41958</v>
      </c>
      <c r="C113" s="12">
        <v>198.64</v>
      </c>
      <c r="D113" s="12">
        <v>15.14</v>
      </c>
      <c r="E113" s="15" t="s">
        <v>21</v>
      </c>
      <c r="H113" s="22"/>
      <c r="I113" s="10"/>
      <c r="J113" s="10"/>
    </row>
    <row r="114" spans="1:28" x14ac:dyDescent="0.2">
      <c r="A114" s="10">
        <v>15054</v>
      </c>
      <c r="B114" s="11">
        <v>41958</v>
      </c>
      <c r="C114" s="12">
        <v>21.599999999999998</v>
      </c>
      <c r="D114" s="12">
        <v>1.65</v>
      </c>
      <c r="E114" s="15" t="s">
        <v>11</v>
      </c>
      <c r="H114" s="22"/>
      <c r="I114" s="10"/>
      <c r="J114" s="10"/>
    </row>
    <row r="115" spans="1:28" x14ac:dyDescent="0.2">
      <c r="A115" s="10">
        <v>15055</v>
      </c>
      <c r="B115" s="11">
        <v>41958</v>
      </c>
      <c r="C115" s="12">
        <v>194.85</v>
      </c>
      <c r="D115" s="12">
        <v>14.85</v>
      </c>
      <c r="E115" s="15" t="s">
        <v>11</v>
      </c>
      <c r="H115" s="22"/>
      <c r="I115" s="10"/>
      <c r="J115" s="10"/>
    </row>
    <row r="116" spans="1:28" x14ac:dyDescent="0.2">
      <c r="A116" s="10">
        <v>15056</v>
      </c>
      <c r="B116" s="11">
        <v>41958</v>
      </c>
      <c r="C116" s="12">
        <v>211.63</v>
      </c>
      <c r="D116" s="12">
        <v>16.13</v>
      </c>
      <c r="E116" s="15" t="s">
        <v>7</v>
      </c>
      <c r="F116" s="20">
        <f>114.13+C107+C109+C111+C110+C112+C114+C113+C115+C116</f>
        <v>1473.0900000000001</v>
      </c>
      <c r="G116" s="20">
        <v>1456.81</v>
      </c>
      <c r="H116" s="22"/>
      <c r="I116" s="10"/>
      <c r="J116" s="10"/>
    </row>
    <row r="117" spans="1:28" x14ac:dyDescent="0.2">
      <c r="A117" s="10">
        <v>15057</v>
      </c>
      <c r="B117" s="11">
        <v>41960</v>
      </c>
      <c r="C117" s="12">
        <v>12.94</v>
      </c>
      <c r="D117" s="12">
        <v>0.99</v>
      </c>
      <c r="E117" s="15" t="s">
        <v>11</v>
      </c>
      <c r="H117" s="22"/>
      <c r="I117" s="10"/>
      <c r="J117" s="10"/>
    </row>
    <row r="118" spans="1:28" s="29" customFormat="1" ht="15" x14ac:dyDescent="0.2">
      <c r="A118" s="10">
        <v>15058</v>
      </c>
      <c r="B118" s="11">
        <v>41960</v>
      </c>
      <c r="C118" s="12">
        <v>43.3</v>
      </c>
      <c r="D118" s="12">
        <v>3.3</v>
      </c>
      <c r="E118" s="15" t="s">
        <v>7</v>
      </c>
      <c r="F118" s="10"/>
      <c r="G118" s="10"/>
      <c r="H118" s="10"/>
      <c r="I118" s="10"/>
      <c r="J118" s="4"/>
      <c r="K118" s="4"/>
      <c r="L118" s="4"/>
      <c r="M118" s="36"/>
      <c r="N118" s="36"/>
      <c r="O118" s="36"/>
      <c r="P118" s="36"/>
      <c r="Q118" s="36"/>
      <c r="R118" s="36"/>
      <c r="S118" s="36"/>
      <c r="T118" s="264"/>
      <c r="U118" s="264"/>
      <c r="V118" s="264"/>
      <c r="W118" s="264"/>
      <c r="X118" s="37"/>
      <c r="Y118" s="265"/>
      <c r="Z118" s="265"/>
      <c r="AA118" s="265"/>
      <c r="AB118" s="265"/>
    </row>
    <row r="119" spans="1:28" s="29" customFormat="1" ht="15" x14ac:dyDescent="0.2">
      <c r="A119" s="10">
        <v>15059</v>
      </c>
      <c r="B119" s="11">
        <v>41960</v>
      </c>
      <c r="C119" s="12">
        <v>154.80000000000001</v>
      </c>
      <c r="D119" s="12">
        <v>11.8</v>
      </c>
      <c r="E119" s="17"/>
      <c r="H119" s="12"/>
      <c r="I119" s="10"/>
      <c r="J119" s="4"/>
      <c r="K119" s="4"/>
      <c r="L119" s="4"/>
      <c r="M119" s="38"/>
      <c r="N119" s="38"/>
      <c r="O119" s="38"/>
      <c r="P119" s="38"/>
      <c r="Q119" s="38"/>
      <c r="R119" s="38"/>
      <c r="S119" s="38"/>
      <c r="T119" s="264"/>
      <c r="U119" s="264"/>
      <c r="V119" s="264"/>
      <c r="W119" s="264"/>
      <c r="X119" s="37"/>
      <c r="Y119" s="265"/>
      <c r="Z119" s="265"/>
      <c r="AA119" s="265"/>
      <c r="AB119" s="265"/>
    </row>
    <row r="120" spans="1:28" s="29" customFormat="1" ht="15" x14ac:dyDescent="0.2">
      <c r="A120" s="10">
        <v>15060</v>
      </c>
      <c r="B120" s="11">
        <v>41960</v>
      </c>
      <c r="C120" s="12">
        <v>227.32999999999998</v>
      </c>
      <c r="D120" s="12">
        <v>17.329999999999998</v>
      </c>
      <c r="E120" s="15" t="s">
        <v>7</v>
      </c>
      <c r="H120" s="10"/>
      <c r="I120" s="10"/>
      <c r="J120" s="4"/>
      <c r="K120" s="4"/>
      <c r="L120" s="4"/>
      <c r="M120" s="38"/>
      <c r="N120" s="38"/>
      <c r="O120" s="38"/>
      <c r="P120" s="38"/>
      <c r="Q120" s="38"/>
      <c r="R120" s="38"/>
      <c r="S120" s="38"/>
      <c r="T120" s="39"/>
      <c r="U120" s="39"/>
      <c r="V120" s="39"/>
      <c r="W120" s="39"/>
      <c r="X120" s="37"/>
      <c r="Y120" s="40"/>
      <c r="Z120" s="40"/>
      <c r="AA120" s="40"/>
      <c r="AB120" s="40"/>
    </row>
    <row r="121" spans="1:28" s="29" customFormat="1" ht="15" x14ac:dyDescent="0.2">
      <c r="A121" s="10">
        <v>15061</v>
      </c>
      <c r="B121" s="11">
        <v>41960</v>
      </c>
      <c r="C121" s="12">
        <v>70.36</v>
      </c>
      <c r="D121" s="12">
        <v>5.36</v>
      </c>
      <c r="E121" s="15" t="s">
        <v>7</v>
      </c>
      <c r="H121" s="10"/>
      <c r="I121" s="10"/>
      <c r="J121" s="4"/>
      <c r="K121" s="4"/>
      <c r="L121" s="4"/>
      <c r="M121" s="38"/>
      <c r="N121" s="38"/>
      <c r="O121" s="38"/>
      <c r="P121" s="38"/>
      <c r="Q121" s="38"/>
      <c r="R121" s="38"/>
      <c r="S121" s="38"/>
      <c r="T121" s="39"/>
      <c r="U121" s="39"/>
      <c r="V121" s="39"/>
      <c r="W121" s="39"/>
      <c r="X121" s="37"/>
      <c r="Y121" s="40"/>
      <c r="Z121" s="40"/>
      <c r="AA121" s="40"/>
      <c r="AB121" s="40"/>
    </row>
    <row r="122" spans="1:28" s="29" customFormat="1" ht="15" x14ac:dyDescent="0.2">
      <c r="A122" s="10">
        <v>15062</v>
      </c>
      <c r="B122" s="11">
        <v>41960</v>
      </c>
      <c r="C122" s="12">
        <v>209</v>
      </c>
      <c r="D122" s="12"/>
      <c r="E122" s="15" t="s">
        <v>11</v>
      </c>
      <c r="F122" s="20">
        <f>+C117+C118+C120+C121+C122+140</f>
        <v>702.93000000000006</v>
      </c>
      <c r="G122" s="20">
        <v>698.41</v>
      </c>
      <c r="H122" s="10"/>
      <c r="I122" s="10"/>
      <c r="J122" s="4"/>
      <c r="K122" s="4"/>
      <c r="L122" s="4"/>
      <c r="M122" s="38"/>
      <c r="N122" s="38"/>
      <c r="O122" s="38"/>
      <c r="P122" s="38"/>
      <c r="Q122" s="38"/>
      <c r="R122" s="38"/>
      <c r="S122" s="38"/>
      <c r="T122" s="39"/>
      <c r="U122" s="39"/>
      <c r="V122" s="39"/>
      <c r="W122" s="39"/>
      <c r="X122" s="37"/>
      <c r="Y122" s="40"/>
      <c r="Z122" s="40"/>
      <c r="AA122" s="40"/>
      <c r="AB122" s="40"/>
    </row>
    <row r="123" spans="1:28" s="29" customFormat="1" ht="15" x14ac:dyDescent="0.2">
      <c r="A123" s="10">
        <v>15063</v>
      </c>
      <c r="B123" s="11">
        <v>41961</v>
      </c>
      <c r="C123" s="12">
        <v>28.04</v>
      </c>
      <c r="D123" s="12">
        <v>2.14</v>
      </c>
      <c r="E123" s="15" t="s">
        <v>7</v>
      </c>
      <c r="F123" s="21"/>
      <c r="G123" s="22"/>
      <c r="H123" s="10"/>
      <c r="I123" s="10"/>
      <c r="J123" s="4"/>
      <c r="K123" s="4"/>
      <c r="L123" s="4"/>
      <c r="M123" s="38"/>
      <c r="N123" s="38"/>
      <c r="O123" s="38"/>
      <c r="P123" s="38"/>
      <c r="Q123" s="38"/>
      <c r="R123" s="38"/>
      <c r="S123" s="38"/>
      <c r="T123" s="39"/>
      <c r="U123" s="39"/>
      <c r="V123" s="39"/>
      <c r="W123" s="39"/>
      <c r="X123" s="37"/>
      <c r="Y123" s="40"/>
      <c r="Z123" s="40"/>
      <c r="AA123" s="40"/>
      <c r="AB123" s="40"/>
    </row>
    <row r="124" spans="1:28" s="29" customFormat="1" ht="15" x14ac:dyDescent="0.2">
      <c r="A124" s="10">
        <v>15064</v>
      </c>
      <c r="B124" s="11">
        <v>41961</v>
      </c>
      <c r="C124" s="12">
        <v>1</v>
      </c>
      <c r="D124" s="12">
        <v>0.08</v>
      </c>
      <c r="E124" s="17"/>
      <c r="H124" s="12"/>
      <c r="I124" s="10"/>
      <c r="J124" s="4"/>
      <c r="K124" s="4"/>
      <c r="L124" s="4"/>
      <c r="M124" s="38"/>
      <c r="N124" s="38"/>
      <c r="O124" s="38"/>
      <c r="P124" s="38"/>
      <c r="Q124" s="38"/>
      <c r="R124" s="38"/>
      <c r="S124" s="38"/>
      <c r="T124" s="39"/>
      <c r="U124" s="39"/>
      <c r="V124" s="39"/>
      <c r="W124" s="39"/>
      <c r="X124" s="37"/>
      <c r="Y124" s="40"/>
      <c r="Z124" s="40"/>
      <c r="AA124" s="40"/>
      <c r="AB124" s="40"/>
    </row>
    <row r="125" spans="1:28" s="29" customFormat="1" ht="15" x14ac:dyDescent="0.2">
      <c r="A125" s="10">
        <v>15065</v>
      </c>
      <c r="B125" s="11">
        <v>41961</v>
      </c>
      <c r="C125" s="12">
        <v>282.37</v>
      </c>
      <c r="D125" s="12">
        <v>21.52</v>
      </c>
      <c r="E125" s="15" t="s">
        <v>7</v>
      </c>
      <c r="F125" s="20">
        <f>+C123</f>
        <v>28.04</v>
      </c>
      <c r="G125" s="20">
        <v>27.41</v>
      </c>
      <c r="H125" s="10"/>
      <c r="I125" s="10"/>
      <c r="J125" s="4"/>
      <c r="K125" s="4"/>
      <c r="L125" s="4"/>
      <c r="M125" s="38"/>
      <c r="N125" s="38"/>
      <c r="O125" s="38"/>
      <c r="P125" s="38"/>
      <c r="Q125" s="38"/>
      <c r="R125" s="38"/>
      <c r="S125" s="38"/>
      <c r="T125" s="39"/>
      <c r="U125" s="39"/>
      <c r="V125" s="39"/>
      <c r="W125" s="39"/>
      <c r="X125" s="37"/>
      <c r="Y125" s="40"/>
      <c r="Z125" s="40"/>
      <c r="AA125" s="40"/>
      <c r="AB125" s="40"/>
    </row>
    <row r="126" spans="1:28" s="29" customFormat="1" ht="15" x14ac:dyDescent="0.2">
      <c r="A126" s="10">
        <v>15066</v>
      </c>
      <c r="B126" s="11">
        <v>41962</v>
      </c>
      <c r="C126" s="12">
        <v>10.83</v>
      </c>
      <c r="D126" s="12">
        <v>0.83</v>
      </c>
      <c r="E126" s="15" t="s">
        <v>11</v>
      </c>
      <c r="H126" s="10"/>
      <c r="I126" s="10"/>
      <c r="J126" s="4"/>
      <c r="K126" s="4"/>
      <c r="L126" s="4"/>
      <c r="M126" s="38"/>
      <c r="N126" s="38"/>
      <c r="O126" s="38"/>
      <c r="P126" s="38"/>
      <c r="Q126" s="38"/>
      <c r="R126" s="38"/>
      <c r="S126" s="38"/>
      <c r="T126" s="39"/>
      <c r="U126" s="39"/>
      <c r="V126" s="39"/>
      <c r="W126" s="39"/>
      <c r="X126" s="37"/>
      <c r="Y126" s="40"/>
      <c r="Z126" s="40"/>
      <c r="AA126" s="40"/>
      <c r="AB126" s="40"/>
    </row>
    <row r="127" spans="1:28" s="29" customFormat="1" ht="15" x14ac:dyDescent="0.2">
      <c r="A127" s="10">
        <v>15067</v>
      </c>
      <c r="B127" s="11">
        <v>41962</v>
      </c>
      <c r="C127" s="12">
        <v>30.2</v>
      </c>
      <c r="D127" s="12">
        <v>2.2999999999999998</v>
      </c>
      <c r="E127" s="17"/>
      <c r="H127" s="12"/>
      <c r="I127" s="10"/>
      <c r="J127" s="4"/>
      <c r="K127" s="4"/>
      <c r="L127" s="4"/>
      <c r="M127" s="38"/>
      <c r="N127" s="38"/>
      <c r="O127" s="38"/>
      <c r="P127" s="38"/>
      <c r="Q127" s="38"/>
      <c r="R127" s="38"/>
      <c r="S127" s="38"/>
      <c r="T127" s="39"/>
      <c r="U127" s="39"/>
      <c r="V127" s="39"/>
      <c r="W127" s="39"/>
      <c r="X127" s="37"/>
      <c r="Y127" s="40"/>
      <c r="Z127" s="40"/>
      <c r="AA127" s="40"/>
      <c r="AB127" s="40"/>
    </row>
    <row r="128" spans="1:28" s="29" customFormat="1" ht="15" x14ac:dyDescent="0.2">
      <c r="A128" s="10">
        <v>15068</v>
      </c>
      <c r="B128" s="11">
        <v>41962</v>
      </c>
      <c r="C128" s="12">
        <v>266.07000000000005</v>
      </c>
      <c r="D128" s="12">
        <v>20.28</v>
      </c>
      <c r="E128" s="15" t="s">
        <v>63</v>
      </c>
      <c r="H128" s="10"/>
      <c r="I128" s="10"/>
      <c r="J128" s="4"/>
      <c r="K128" s="4"/>
      <c r="L128" s="4"/>
      <c r="M128" s="38"/>
      <c r="N128" s="38"/>
      <c r="O128" s="38"/>
      <c r="P128" s="38"/>
      <c r="Q128" s="38"/>
      <c r="R128" s="38"/>
      <c r="S128" s="38"/>
      <c r="T128" s="39"/>
      <c r="U128" s="39"/>
      <c r="V128" s="39"/>
      <c r="W128" s="39"/>
      <c r="X128" s="37"/>
      <c r="Y128" s="40"/>
      <c r="Z128" s="40"/>
      <c r="AA128" s="40"/>
      <c r="AB128" s="40"/>
    </row>
    <row r="129" spans="1:28" s="29" customFormat="1" ht="15" x14ac:dyDescent="0.2">
      <c r="A129" s="10">
        <v>15069</v>
      </c>
      <c r="B129" s="11">
        <v>41962</v>
      </c>
      <c r="C129" s="12">
        <v>233.82</v>
      </c>
      <c r="D129" s="12">
        <v>17.82</v>
      </c>
      <c r="E129" s="15" t="s">
        <v>11</v>
      </c>
      <c r="H129" s="10"/>
      <c r="I129" s="10"/>
      <c r="J129" s="4"/>
      <c r="K129" s="4"/>
      <c r="L129" s="4"/>
      <c r="M129" s="38"/>
      <c r="N129" s="38"/>
      <c r="O129" s="38"/>
      <c r="P129" s="38"/>
      <c r="Q129" s="38"/>
      <c r="R129" s="38"/>
      <c r="S129" s="38"/>
      <c r="T129" s="39"/>
      <c r="U129" s="39"/>
      <c r="V129" s="39"/>
      <c r="W129" s="39"/>
      <c r="X129" s="37"/>
      <c r="Y129" s="40"/>
      <c r="Z129" s="40"/>
      <c r="AA129" s="40"/>
      <c r="AB129" s="40"/>
    </row>
    <row r="130" spans="1:28" s="29" customFormat="1" ht="15" x14ac:dyDescent="0.2">
      <c r="A130" s="10">
        <v>15070</v>
      </c>
      <c r="B130" s="11">
        <v>41962</v>
      </c>
      <c r="C130" s="12">
        <v>58</v>
      </c>
      <c r="D130" s="12"/>
      <c r="E130" s="15" t="s">
        <v>64</v>
      </c>
      <c r="F130" s="21"/>
      <c r="G130" s="22"/>
      <c r="H130" s="10"/>
      <c r="I130" s="10"/>
      <c r="J130" s="4"/>
      <c r="K130" s="4"/>
      <c r="L130" s="4"/>
      <c r="M130" s="38"/>
      <c r="N130" s="38"/>
      <c r="O130" s="38"/>
      <c r="P130" s="38"/>
      <c r="Q130" s="38"/>
      <c r="R130" s="38"/>
      <c r="S130" s="38"/>
      <c r="T130" s="39"/>
      <c r="U130" s="39"/>
      <c r="V130" s="39"/>
      <c r="W130" s="39"/>
      <c r="X130" s="37"/>
      <c r="Y130" s="40"/>
      <c r="Z130" s="40"/>
      <c r="AA130" s="40"/>
      <c r="AB130" s="40"/>
    </row>
    <row r="131" spans="1:28" s="29" customFormat="1" ht="15" x14ac:dyDescent="0.2">
      <c r="A131" s="10">
        <v>15071</v>
      </c>
      <c r="B131" s="11">
        <v>41962</v>
      </c>
      <c r="C131" s="12">
        <v>268</v>
      </c>
      <c r="D131" s="12">
        <v>20.43</v>
      </c>
      <c r="E131" s="13"/>
      <c r="F131" s="18"/>
      <c r="G131" s="19"/>
      <c r="H131" s="12"/>
      <c r="I131" s="10"/>
      <c r="J131" s="4"/>
      <c r="K131" s="4"/>
      <c r="L131" s="4"/>
      <c r="M131" s="38"/>
      <c r="N131" s="38"/>
      <c r="O131" s="38"/>
      <c r="P131" s="38"/>
      <c r="Q131" s="38"/>
      <c r="R131" s="38"/>
      <c r="S131" s="38"/>
      <c r="T131" s="39"/>
      <c r="U131" s="39"/>
      <c r="V131" s="39"/>
      <c r="W131" s="39"/>
      <c r="X131" s="37"/>
      <c r="Y131" s="40"/>
      <c r="Z131" s="40"/>
      <c r="AA131" s="40"/>
      <c r="AB131" s="40"/>
    </row>
    <row r="132" spans="1:28" s="29" customFormat="1" ht="15" x14ac:dyDescent="0.2">
      <c r="A132" s="10">
        <v>15072</v>
      </c>
      <c r="B132" s="11">
        <v>41962</v>
      </c>
      <c r="C132" s="12">
        <v>209.95</v>
      </c>
      <c r="D132" s="12">
        <v>16</v>
      </c>
      <c r="E132" s="15" t="s">
        <v>11</v>
      </c>
      <c r="F132" s="20">
        <f>+C126+C125+C129+C132</f>
        <v>736.97</v>
      </c>
      <c r="G132" s="20">
        <v>720.67</v>
      </c>
      <c r="H132" s="10"/>
      <c r="I132" s="10"/>
      <c r="J132" s="4"/>
      <c r="K132" s="4"/>
      <c r="L132" s="4"/>
      <c r="M132" s="38"/>
      <c r="N132" s="38"/>
      <c r="O132" s="38"/>
      <c r="P132" s="38"/>
      <c r="Q132" s="38"/>
      <c r="R132" s="38"/>
      <c r="S132" s="38"/>
      <c r="T132" s="39"/>
      <c r="U132" s="39"/>
      <c r="V132" s="39"/>
      <c r="W132" s="39"/>
      <c r="X132" s="37"/>
      <c r="Y132" s="40"/>
      <c r="Z132" s="40"/>
      <c r="AA132" s="40"/>
      <c r="AB132" s="40"/>
    </row>
    <row r="133" spans="1:28" s="29" customFormat="1" ht="15" x14ac:dyDescent="0.2">
      <c r="A133" s="10">
        <v>15073</v>
      </c>
      <c r="B133" s="11">
        <v>41963</v>
      </c>
      <c r="C133" s="12">
        <v>5.36</v>
      </c>
      <c r="D133" s="12">
        <v>0.41</v>
      </c>
      <c r="E133" s="17"/>
      <c r="H133" s="12"/>
      <c r="I133" s="10"/>
      <c r="J133" s="4"/>
      <c r="K133" s="4"/>
      <c r="L133" s="4"/>
      <c r="M133" s="38"/>
      <c r="N133" s="38"/>
      <c r="O133" s="38"/>
      <c r="P133" s="38"/>
      <c r="Q133" s="38"/>
      <c r="R133" s="38"/>
      <c r="S133" s="38"/>
      <c r="T133" s="39"/>
      <c r="U133" s="39"/>
      <c r="V133" s="39"/>
      <c r="W133" s="39"/>
      <c r="X133" s="37"/>
      <c r="Y133" s="40"/>
      <c r="Z133" s="40"/>
      <c r="AA133" s="40"/>
      <c r="AB133" s="40"/>
    </row>
    <row r="134" spans="1:28" s="29" customFormat="1" ht="15" x14ac:dyDescent="0.2">
      <c r="A134" s="10">
        <v>15074</v>
      </c>
      <c r="B134" s="11">
        <v>41963</v>
      </c>
      <c r="C134" s="12">
        <v>101.7</v>
      </c>
      <c r="D134" s="12">
        <v>7.75</v>
      </c>
      <c r="E134" s="15" t="s">
        <v>11</v>
      </c>
      <c r="H134" s="10"/>
      <c r="I134" s="10"/>
      <c r="J134" s="4"/>
      <c r="K134" s="4"/>
      <c r="L134" s="4"/>
      <c r="M134" s="38"/>
      <c r="N134" s="38"/>
      <c r="O134" s="38"/>
      <c r="P134" s="38"/>
      <c r="Q134" s="38"/>
      <c r="R134" s="38"/>
      <c r="S134" s="38"/>
      <c r="T134" s="39"/>
      <c r="U134" s="39"/>
      <c r="V134" s="39"/>
      <c r="W134" s="39"/>
      <c r="X134" s="37"/>
      <c r="Y134" s="40"/>
      <c r="Z134" s="40"/>
      <c r="AA134" s="40"/>
      <c r="AB134" s="40"/>
    </row>
    <row r="135" spans="1:28" s="29" customFormat="1" ht="15" x14ac:dyDescent="0.2">
      <c r="A135" s="10">
        <v>15075</v>
      </c>
      <c r="B135" s="11">
        <v>41963</v>
      </c>
      <c r="C135" s="12">
        <v>48.71</v>
      </c>
      <c r="D135" s="12">
        <v>3.71</v>
      </c>
      <c r="E135" s="15"/>
      <c r="F135" s="21"/>
      <c r="G135" s="22"/>
      <c r="H135" s="10"/>
      <c r="I135" s="10"/>
      <c r="J135" s="4"/>
      <c r="K135" s="4"/>
      <c r="L135" s="4"/>
      <c r="M135" s="38"/>
      <c r="N135" s="38"/>
      <c r="O135" s="38"/>
      <c r="P135" s="38"/>
      <c r="Q135" s="38"/>
      <c r="R135" s="38"/>
      <c r="S135" s="38"/>
      <c r="T135" s="39"/>
      <c r="U135" s="39"/>
      <c r="V135" s="39"/>
      <c r="W135" s="39"/>
      <c r="X135" s="37"/>
      <c r="Y135" s="40"/>
      <c r="Z135" s="40"/>
      <c r="AA135" s="40"/>
      <c r="AB135" s="40"/>
    </row>
    <row r="136" spans="1:28" s="29" customFormat="1" ht="15" x14ac:dyDescent="0.2">
      <c r="A136" s="10">
        <v>15076</v>
      </c>
      <c r="B136" s="11">
        <v>41963</v>
      </c>
      <c r="C136" s="12">
        <v>5</v>
      </c>
      <c r="D136" s="12">
        <v>0.38</v>
      </c>
      <c r="E136" s="17"/>
      <c r="F136" s="20">
        <f>87.68+C134</f>
        <v>189.38</v>
      </c>
      <c r="G136" s="20">
        <v>188.1</v>
      </c>
      <c r="H136" s="12"/>
      <c r="I136" s="10"/>
      <c r="J136" s="4"/>
      <c r="K136" s="4"/>
      <c r="L136" s="4"/>
      <c r="M136" s="38"/>
      <c r="N136" s="38"/>
      <c r="O136" s="38"/>
      <c r="P136" s="38"/>
      <c r="Q136" s="38"/>
      <c r="R136" s="38"/>
      <c r="S136" s="38"/>
      <c r="T136" s="39"/>
      <c r="U136" s="39"/>
      <c r="V136" s="39"/>
      <c r="W136" s="39"/>
      <c r="X136" s="37"/>
      <c r="Y136" s="40"/>
      <c r="Z136" s="40"/>
      <c r="AA136" s="40"/>
      <c r="AB136" s="40"/>
    </row>
    <row r="137" spans="1:28" s="29" customFormat="1" ht="15" x14ac:dyDescent="0.2">
      <c r="A137" s="10">
        <v>15077</v>
      </c>
      <c r="B137" s="11">
        <v>41964</v>
      </c>
      <c r="C137" s="12">
        <v>208.38</v>
      </c>
      <c r="D137" s="12">
        <v>15.88</v>
      </c>
      <c r="E137" s="13"/>
      <c r="H137" s="12"/>
      <c r="I137" s="10"/>
      <c r="J137" s="4"/>
      <c r="K137" s="4"/>
      <c r="L137" s="4"/>
      <c r="M137" s="38"/>
      <c r="N137" s="38"/>
      <c r="O137" s="38"/>
      <c r="P137" s="38"/>
      <c r="Q137" s="38"/>
      <c r="R137" s="38"/>
      <c r="S137" s="38"/>
      <c r="T137" s="39"/>
      <c r="U137" s="39"/>
      <c r="V137" s="39"/>
      <c r="W137" s="39"/>
      <c r="X137" s="37"/>
      <c r="Y137" s="40"/>
      <c r="Z137" s="40"/>
      <c r="AA137" s="40"/>
      <c r="AB137" s="40"/>
    </row>
    <row r="138" spans="1:28" s="29" customFormat="1" ht="15" x14ac:dyDescent="0.2">
      <c r="A138" s="10">
        <v>15078</v>
      </c>
      <c r="B138" s="11">
        <v>41964</v>
      </c>
      <c r="C138" s="12">
        <v>70.36</v>
      </c>
      <c r="D138" s="12">
        <v>5.36</v>
      </c>
      <c r="E138" s="15" t="s">
        <v>11</v>
      </c>
      <c r="H138" s="10"/>
      <c r="I138" s="10"/>
      <c r="J138" s="4"/>
      <c r="K138" s="4"/>
      <c r="L138" s="4"/>
      <c r="M138" s="38"/>
      <c r="N138" s="38"/>
      <c r="O138" s="38"/>
      <c r="P138" s="38"/>
      <c r="Q138" s="38"/>
      <c r="R138" s="38"/>
      <c r="S138" s="38"/>
      <c r="T138" s="39"/>
      <c r="U138" s="39"/>
      <c r="V138" s="39"/>
      <c r="W138" s="39"/>
      <c r="X138" s="37"/>
      <c r="Y138" s="40"/>
      <c r="Z138" s="40"/>
      <c r="AA138" s="40"/>
      <c r="AB138" s="40"/>
    </row>
    <row r="139" spans="1:28" s="29" customFormat="1" ht="15" x14ac:dyDescent="0.2">
      <c r="A139" s="10">
        <v>15079</v>
      </c>
      <c r="B139" s="11">
        <v>41964</v>
      </c>
      <c r="C139" s="12">
        <v>133.15</v>
      </c>
      <c r="D139" s="12">
        <v>10.15</v>
      </c>
      <c r="E139" s="15" t="s">
        <v>11</v>
      </c>
      <c r="H139" s="10"/>
      <c r="I139" s="10"/>
      <c r="J139" s="4"/>
      <c r="K139" s="4"/>
      <c r="L139" s="4"/>
      <c r="M139" s="38"/>
      <c r="N139" s="38"/>
      <c r="O139" s="38"/>
      <c r="P139" s="38"/>
      <c r="Q139" s="38"/>
      <c r="R139" s="38"/>
      <c r="S139" s="38"/>
      <c r="T139" s="39"/>
      <c r="U139" s="39"/>
      <c r="V139" s="39"/>
      <c r="W139" s="39"/>
      <c r="X139" s="37"/>
      <c r="Y139" s="40"/>
      <c r="Z139" s="40"/>
      <c r="AA139" s="40"/>
      <c r="AB139" s="40"/>
    </row>
    <row r="140" spans="1:28" s="29" customFormat="1" ht="15" x14ac:dyDescent="0.2">
      <c r="A140" s="10">
        <v>15080</v>
      </c>
      <c r="B140" s="11">
        <v>41964</v>
      </c>
      <c r="C140" s="12">
        <v>18</v>
      </c>
      <c r="D140" s="12"/>
      <c r="E140" s="13" t="s">
        <v>65</v>
      </c>
      <c r="F140" s="18"/>
      <c r="G140" s="19"/>
      <c r="H140" s="12"/>
      <c r="I140" s="10"/>
      <c r="J140" s="4"/>
      <c r="K140" s="4"/>
      <c r="L140" s="4"/>
      <c r="M140" s="38"/>
      <c r="N140" s="38"/>
      <c r="O140" s="38"/>
      <c r="P140" s="38"/>
      <c r="Q140" s="38"/>
      <c r="R140" s="38"/>
      <c r="S140" s="38"/>
      <c r="T140" s="39"/>
      <c r="U140" s="39"/>
      <c r="V140" s="39"/>
      <c r="W140" s="39"/>
      <c r="X140" s="37"/>
      <c r="Y140" s="40"/>
      <c r="Z140" s="40"/>
      <c r="AA140" s="40"/>
      <c r="AB140" s="40"/>
    </row>
    <row r="141" spans="1:28" s="29" customFormat="1" ht="15" x14ac:dyDescent="0.2">
      <c r="A141" s="10">
        <v>15081</v>
      </c>
      <c r="B141" s="11">
        <v>41964</v>
      </c>
      <c r="C141" s="12">
        <v>51.96</v>
      </c>
      <c r="D141" s="12">
        <v>3.96</v>
      </c>
      <c r="E141" s="15" t="s">
        <v>11</v>
      </c>
      <c r="H141" s="10"/>
      <c r="I141" s="10"/>
      <c r="J141" s="4"/>
      <c r="K141" s="4"/>
      <c r="L141" s="4"/>
      <c r="M141" s="38"/>
      <c r="N141" s="38"/>
      <c r="O141" s="38"/>
      <c r="P141" s="38"/>
      <c r="Q141" s="38"/>
      <c r="R141" s="38"/>
      <c r="S141" s="38"/>
      <c r="T141" s="39"/>
      <c r="U141" s="39"/>
      <c r="V141" s="39"/>
      <c r="W141" s="39"/>
      <c r="X141" s="37"/>
      <c r="Y141" s="40"/>
      <c r="Z141" s="40"/>
      <c r="AA141" s="40"/>
      <c r="AB141" s="40"/>
    </row>
    <row r="142" spans="1:28" s="29" customFormat="1" ht="15" x14ac:dyDescent="0.2">
      <c r="A142" s="10">
        <v>15082</v>
      </c>
      <c r="B142" s="11">
        <v>41964</v>
      </c>
      <c r="C142" s="12">
        <v>58.400000000000006</v>
      </c>
      <c r="D142" s="12">
        <v>4.45</v>
      </c>
      <c r="E142" s="17"/>
      <c r="F142" s="20">
        <f>+C138+C141</f>
        <v>122.32</v>
      </c>
      <c r="G142" s="20">
        <v>121.26</v>
      </c>
      <c r="H142" s="12"/>
      <c r="I142" s="10"/>
      <c r="J142" s="4"/>
      <c r="K142" s="4"/>
      <c r="L142" s="4"/>
      <c r="M142" s="38"/>
      <c r="N142" s="38"/>
      <c r="O142" s="38"/>
      <c r="P142" s="38"/>
      <c r="Q142" s="38"/>
      <c r="R142" s="38"/>
      <c r="S142" s="38"/>
      <c r="T142" s="39"/>
      <c r="U142" s="39"/>
      <c r="V142" s="39"/>
      <c r="W142" s="39"/>
      <c r="X142" s="37"/>
      <c r="Y142" s="40"/>
      <c r="Z142" s="40"/>
      <c r="AA142" s="40"/>
      <c r="AB142" s="40"/>
    </row>
    <row r="143" spans="1:28" s="29" customFormat="1" ht="15" x14ac:dyDescent="0.2">
      <c r="A143" s="10">
        <v>15083</v>
      </c>
      <c r="B143" s="11">
        <v>41965</v>
      </c>
      <c r="C143" s="12">
        <v>12.94</v>
      </c>
      <c r="D143" s="12">
        <v>0.99</v>
      </c>
      <c r="E143" s="15" t="s">
        <v>11</v>
      </c>
      <c r="H143" s="10"/>
      <c r="I143" s="10"/>
      <c r="J143" s="4"/>
      <c r="K143" s="4"/>
      <c r="L143" s="4"/>
      <c r="M143" s="38"/>
      <c r="N143" s="38"/>
      <c r="O143" s="38"/>
      <c r="P143" s="38"/>
      <c r="Q143" s="38"/>
      <c r="R143" s="38"/>
      <c r="S143" s="38"/>
      <c r="T143" s="39"/>
      <c r="U143" s="39"/>
      <c r="V143" s="39"/>
      <c r="W143" s="39"/>
      <c r="X143" s="37"/>
      <c r="Y143" s="40"/>
      <c r="Z143" s="40"/>
      <c r="AA143" s="40"/>
      <c r="AB143" s="40"/>
    </row>
    <row r="144" spans="1:28" s="29" customFormat="1" ht="15" x14ac:dyDescent="0.2">
      <c r="A144" s="10">
        <v>15084</v>
      </c>
      <c r="B144" s="11">
        <v>41965</v>
      </c>
      <c r="C144" s="12">
        <v>12</v>
      </c>
      <c r="D144" s="12">
        <v>0.91</v>
      </c>
      <c r="E144" s="17"/>
      <c r="H144" s="12"/>
      <c r="I144" s="10"/>
      <c r="J144" s="4"/>
      <c r="K144" s="4"/>
      <c r="L144" s="4"/>
      <c r="M144" s="38"/>
      <c r="N144" s="38"/>
      <c r="O144" s="38"/>
      <c r="P144" s="38"/>
      <c r="Q144" s="38"/>
      <c r="R144" s="38"/>
      <c r="S144" s="38"/>
      <c r="T144" s="39"/>
      <c r="U144" s="39"/>
      <c r="V144" s="39"/>
      <c r="W144" s="39"/>
      <c r="X144" s="37"/>
      <c r="Y144" s="40"/>
      <c r="Z144" s="40"/>
      <c r="AA144" s="40"/>
      <c r="AB144" s="40"/>
    </row>
    <row r="145" spans="1:28" s="29" customFormat="1" ht="15" x14ac:dyDescent="0.2">
      <c r="A145" s="10">
        <v>15085</v>
      </c>
      <c r="B145" s="11">
        <v>41965</v>
      </c>
      <c r="C145" s="12">
        <v>157.98999999999998</v>
      </c>
      <c r="D145" s="12">
        <v>12.04</v>
      </c>
      <c r="E145" s="15" t="s">
        <v>11</v>
      </c>
      <c r="F145" s="21"/>
      <c r="G145" s="22"/>
      <c r="H145" s="10"/>
      <c r="I145" s="10"/>
      <c r="J145" s="4"/>
      <c r="K145" s="4"/>
      <c r="L145" s="4"/>
      <c r="M145" s="38"/>
      <c r="N145" s="38"/>
      <c r="O145" s="38"/>
      <c r="P145" s="38"/>
      <c r="Q145" s="38"/>
      <c r="R145" s="38"/>
      <c r="S145" s="38"/>
      <c r="T145" s="39"/>
      <c r="U145" s="39"/>
      <c r="V145" s="39"/>
      <c r="W145" s="39"/>
      <c r="X145" s="37"/>
      <c r="Y145" s="40"/>
      <c r="Z145" s="40"/>
      <c r="AA145" s="40"/>
      <c r="AB145" s="40"/>
    </row>
    <row r="146" spans="1:28" s="29" customFormat="1" ht="15" x14ac:dyDescent="0.2">
      <c r="A146" s="10">
        <v>15086</v>
      </c>
      <c r="B146" s="11">
        <v>41965</v>
      </c>
      <c r="C146" s="12">
        <v>22.73</v>
      </c>
      <c r="D146" s="12">
        <v>1.73</v>
      </c>
      <c r="E146" s="13"/>
      <c r="F146" s="18"/>
      <c r="G146" s="19"/>
      <c r="H146" s="12"/>
      <c r="I146" s="10"/>
      <c r="J146" s="4"/>
      <c r="K146" s="4"/>
      <c r="L146" s="4"/>
      <c r="M146" s="38"/>
      <c r="N146" s="38"/>
      <c r="O146" s="38"/>
      <c r="P146" s="38"/>
      <c r="Q146" s="38"/>
      <c r="R146" s="38"/>
      <c r="S146" s="38"/>
      <c r="T146" s="39"/>
      <c r="U146" s="39"/>
      <c r="V146" s="39"/>
      <c r="W146" s="39"/>
      <c r="X146" s="37"/>
      <c r="Y146" s="40"/>
      <c r="Z146" s="40"/>
      <c r="AA146" s="40"/>
      <c r="AB146" s="40"/>
    </row>
    <row r="147" spans="1:28" s="29" customFormat="1" ht="15" x14ac:dyDescent="0.2">
      <c r="A147" s="10">
        <v>15087</v>
      </c>
      <c r="B147" s="11">
        <v>41965</v>
      </c>
      <c r="C147" s="12">
        <v>10.81</v>
      </c>
      <c r="D147" s="12">
        <v>0.82</v>
      </c>
      <c r="E147" s="13"/>
      <c r="F147" s="18"/>
      <c r="G147" s="19"/>
      <c r="H147" s="12"/>
      <c r="I147" s="10"/>
      <c r="J147" s="4"/>
      <c r="K147" s="4"/>
      <c r="L147" s="4"/>
      <c r="M147" s="38"/>
      <c r="N147" s="38"/>
      <c r="O147" s="38"/>
      <c r="P147" s="38"/>
      <c r="Q147" s="38"/>
      <c r="R147" s="38"/>
      <c r="S147" s="38"/>
      <c r="T147" s="39"/>
      <c r="U147" s="39"/>
      <c r="V147" s="39"/>
      <c r="W147" s="39"/>
      <c r="X147" s="37"/>
      <c r="Y147" s="40"/>
      <c r="Z147" s="40"/>
      <c r="AA147" s="40"/>
      <c r="AB147" s="40"/>
    </row>
    <row r="148" spans="1:28" s="29" customFormat="1" ht="15" x14ac:dyDescent="0.2">
      <c r="A148" s="10">
        <v>15088</v>
      </c>
      <c r="B148" s="11">
        <v>41965</v>
      </c>
      <c r="C148" s="12">
        <v>127.74</v>
      </c>
      <c r="D148" s="12">
        <v>9.74</v>
      </c>
      <c r="E148" s="13"/>
      <c r="F148" s="18"/>
      <c r="G148" s="19"/>
      <c r="H148" s="12"/>
      <c r="I148" s="10"/>
      <c r="J148" s="4"/>
      <c r="K148" s="4"/>
      <c r="L148" s="4"/>
      <c r="M148" s="38"/>
      <c r="N148" s="38"/>
      <c r="O148" s="38"/>
      <c r="P148" s="38"/>
      <c r="Q148" s="38"/>
      <c r="R148" s="38"/>
      <c r="S148" s="38"/>
      <c r="T148" s="39"/>
      <c r="U148" s="39"/>
      <c r="V148" s="39"/>
      <c r="W148" s="39"/>
      <c r="X148" s="37"/>
      <c r="Y148" s="40"/>
      <c r="Z148" s="40"/>
      <c r="AA148" s="40"/>
      <c r="AB148" s="40"/>
    </row>
    <row r="149" spans="1:28" s="29" customFormat="1" ht="15" x14ac:dyDescent="0.2">
      <c r="A149" s="10">
        <v>15089</v>
      </c>
      <c r="B149" s="11">
        <v>41965</v>
      </c>
      <c r="C149" s="12">
        <v>24</v>
      </c>
      <c r="D149" s="12"/>
      <c r="E149" s="13"/>
      <c r="F149" s="18"/>
      <c r="G149" s="19"/>
      <c r="H149" s="12"/>
      <c r="I149" s="10"/>
      <c r="J149" s="4"/>
      <c r="K149" s="4"/>
      <c r="L149" s="4"/>
      <c r="M149" s="38"/>
      <c r="N149" s="38"/>
      <c r="O149" s="38"/>
      <c r="P149" s="38"/>
      <c r="Q149" s="38"/>
      <c r="R149" s="38"/>
      <c r="S149" s="38"/>
      <c r="T149" s="39"/>
      <c r="U149" s="39"/>
      <c r="V149" s="39"/>
      <c r="W149" s="39"/>
      <c r="X149" s="37"/>
      <c r="Y149" s="40"/>
      <c r="Z149" s="40"/>
      <c r="AA149" s="40"/>
      <c r="AB149" s="40"/>
    </row>
    <row r="150" spans="1:28" s="29" customFormat="1" ht="15" x14ac:dyDescent="0.2">
      <c r="A150" s="10">
        <v>15090</v>
      </c>
      <c r="B150" s="11">
        <v>41965</v>
      </c>
      <c r="C150" s="12">
        <v>387.54</v>
      </c>
      <c r="D150" s="12">
        <v>29.54</v>
      </c>
      <c r="E150" s="15" t="s">
        <v>21</v>
      </c>
      <c r="F150" s="21"/>
      <c r="G150" s="22"/>
      <c r="H150" s="10"/>
      <c r="I150" s="10"/>
      <c r="J150" s="4"/>
      <c r="K150" s="4"/>
      <c r="L150" s="4"/>
      <c r="M150" s="38"/>
      <c r="N150" s="38"/>
      <c r="O150" s="38"/>
      <c r="P150" s="38"/>
      <c r="Q150" s="38"/>
      <c r="R150" s="38"/>
      <c r="S150" s="38"/>
      <c r="T150" s="39"/>
      <c r="U150" s="39"/>
      <c r="V150" s="39"/>
      <c r="W150" s="39"/>
      <c r="X150" s="37"/>
      <c r="Y150" s="40"/>
      <c r="Z150" s="40"/>
      <c r="AA150" s="40"/>
      <c r="AB150" s="40"/>
    </row>
    <row r="151" spans="1:28" s="29" customFormat="1" ht="15" x14ac:dyDescent="0.2">
      <c r="A151" s="10">
        <v>15091</v>
      </c>
      <c r="B151" s="11">
        <v>41965</v>
      </c>
      <c r="C151" s="12">
        <v>-127.74</v>
      </c>
      <c r="D151" s="12">
        <v>-9.74</v>
      </c>
      <c r="E151" s="13" t="s">
        <v>66</v>
      </c>
      <c r="F151" s="18"/>
      <c r="G151" s="19"/>
      <c r="H151" s="12"/>
      <c r="I151" s="10"/>
      <c r="J151" s="4"/>
      <c r="K151" s="4"/>
      <c r="L151" s="4"/>
      <c r="M151" s="38"/>
      <c r="N151" s="38"/>
      <c r="O151" s="38"/>
      <c r="P151" s="38"/>
      <c r="Q151" s="38"/>
      <c r="R151" s="38"/>
      <c r="S151" s="38"/>
      <c r="T151" s="39"/>
      <c r="U151" s="39"/>
      <c r="V151" s="39"/>
      <c r="W151" s="39"/>
      <c r="X151" s="37"/>
      <c r="Y151" s="40"/>
      <c r="Z151" s="40"/>
      <c r="AA151" s="40"/>
      <c r="AB151" s="40"/>
    </row>
    <row r="152" spans="1:28" s="29" customFormat="1" ht="15" x14ac:dyDescent="0.2">
      <c r="A152" s="10">
        <v>15092</v>
      </c>
      <c r="B152" s="11">
        <v>41965</v>
      </c>
      <c r="C152" s="12">
        <v>192.69</v>
      </c>
      <c r="D152" s="12">
        <v>14.69</v>
      </c>
      <c r="E152" s="15" t="s">
        <v>11</v>
      </c>
      <c r="H152" s="10"/>
      <c r="I152" s="10"/>
      <c r="J152" s="4"/>
      <c r="K152" s="4"/>
      <c r="L152" s="4"/>
      <c r="M152" s="38"/>
      <c r="N152" s="38"/>
      <c r="O152" s="38"/>
      <c r="P152" s="38"/>
      <c r="Q152" s="38"/>
      <c r="R152" s="38"/>
      <c r="S152" s="38"/>
      <c r="T152" s="39"/>
      <c r="U152" s="39"/>
      <c r="V152" s="39"/>
      <c r="W152" s="39"/>
      <c r="X152" s="37"/>
      <c r="Y152" s="40"/>
      <c r="Z152" s="40"/>
      <c r="AA152" s="40"/>
      <c r="AB152" s="40"/>
    </row>
    <row r="153" spans="1:28" s="29" customFormat="1" ht="15" x14ac:dyDescent="0.2">
      <c r="A153" s="10">
        <v>15093</v>
      </c>
      <c r="B153" s="11">
        <v>41965</v>
      </c>
      <c r="C153" s="12">
        <v>252.5</v>
      </c>
      <c r="D153" s="12"/>
      <c r="E153" s="15" t="s">
        <v>7</v>
      </c>
      <c r="H153" s="10"/>
      <c r="I153" s="10"/>
      <c r="J153" s="4"/>
      <c r="K153" s="4"/>
      <c r="L153" s="4"/>
      <c r="M153" s="38"/>
      <c r="N153" s="38"/>
      <c r="O153" s="38"/>
      <c r="P153" s="38"/>
      <c r="Q153" s="38"/>
      <c r="R153" s="38"/>
      <c r="S153" s="38"/>
      <c r="T153" s="39"/>
      <c r="U153" s="39"/>
      <c r="V153" s="39"/>
      <c r="W153" s="39"/>
      <c r="X153" s="37"/>
      <c r="Y153" s="40"/>
      <c r="Z153" s="40"/>
      <c r="AA153" s="40"/>
      <c r="AB153" s="40"/>
    </row>
    <row r="154" spans="1:28" s="29" customFormat="1" ht="15" x14ac:dyDescent="0.2">
      <c r="A154" s="10">
        <v>15094</v>
      </c>
      <c r="B154" s="11">
        <v>41965</v>
      </c>
      <c r="C154" s="12">
        <v>60</v>
      </c>
      <c r="D154" s="12">
        <v>4.57</v>
      </c>
      <c r="E154" s="15"/>
      <c r="F154" s="20">
        <f>+C143+C145+C152+C153</f>
        <v>616.12</v>
      </c>
      <c r="G154" s="20">
        <v>612.57000000000005</v>
      </c>
      <c r="H154" s="10"/>
      <c r="I154" s="10"/>
      <c r="J154" s="4"/>
      <c r="K154" s="4"/>
      <c r="L154" s="4"/>
      <c r="M154" s="38"/>
      <c r="N154" s="38"/>
      <c r="O154" s="38"/>
      <c r="P154" s="38"/>
      <c r="Q154" s="38"/>
      <c r="R154" s="38"/>
      <c r="S154" s="38"/>
      <c r="T154" s="39"/>
      <c r="U154" s="39"/>
      <c r="V154" s="39"/>
      <c r="W154" s="39"/>
      <c r="X154" s="37"/>
      <c r="Y154" s="40"/>
      <c r="Z154" s="40"/>
      <c r="AA154" s="40"/>
      <c r="AB154" s="40"/>
    </row>
    <row r="155" spans="1:28" s="29" customFormat="1" ht="15" x14ac:dyDescent="0.2">
      <c r="A155" s="10">
        <v>15095</v>
      </c>
      <c r="B155" s="11">
        <v>41967</v>
      </c>
      <c r="C155" s="12">
        <v>88.660000000000011</v>
      </c>
      <c r="D155" s="12">
        <v>6.76</v>
      </c>
      <c r="E155" s="15" t="s">
        <v>11</v>
      </c>
      <c r="H155" s="10"/>
      <c r="I155" s="10"/>
      <c r="J155" s="4"/>
      <c r="K155" s="4"/>
      <c r="L155" s="4"/>
      <c r="M155" s="38"/>
      <c r="N155" s="38"/>
      <c r="O155" s="38"/>
      <c r="P155" s="38"/>
      <c r="Q155" s="38"/>
      <c r="R155" s="38"/>
      <c r="S155" s="38"/>
      <c r="T155" s="39"/>
      <c r="U155" s="39"/>
      <c r="V155" s="39"/>
      <c r="W155" s="39"/>
      <c r="X155" s="37"/>
      <c r="Y155" s="40"/>
      <c r="Z155" s="40"/>
      <c r="AA155" s="40"/>
      <c r="AB155" s="40"/>
    </row>
    <row r="156" spans="1:28" s="29" customFormat="1" ht="15" x14ac:dyDescent="0.2">
      <c r="A156" s="10">
        <v>15096</v>
      </c>
      <c r="B156" s="11">
        <v>41967</v>
      </c>
      <c r="C156" s="12">
        <v>20.57</v>
      </c>
      <c r="D156" s="12">
        <v>1.57</v>
      </c>
      <c r="E156" s="17"/>
      <c r="H156" s="12"/>
      <c r="I156" s="10"/>
      <c r="J156" s="4"/>
      <c r="K156" s="4"/>
      <c r="L156" s="4"/>
      <c r="M156" s="38"/>
      <c r="N156" s="38"/>
      <c r="O156" s="38"/>
      <c r="P156" s="38"/>
      <c r="Q156" s="38"/>
      <c r="R156" s="38"/>
      <c r="S156" s="38"/>
      <c r="T156" s="39"/>
      <c r="U156" s="39"/>
      <c r="V156" s="39"/>
      <c r="W156" s="39"/>
      <c r="X156" s="37"/>
      <c r="Y156" s="40"/>
      <c r="Z156" s="40"/>
      <c r="AA156" s="40"/>
      <c r="AB156" s="40"/>
    </row>
    <row r="157" spans="1:28" s="29" customFormat="1" ht="15" x14ac:dyDescent="0.2">
      <c r="A157" s="10">
        <v>15097</v>
      </c>
      <c r="B157" s="11">
        <v>41967</v>
      </c>
      <c r="C157" s="12">
        <v>59</v>
      </c>
      <c r="D157" s="12"/>
      <c r="E157" s="15" t="s">
        <v>67</v>
      </c>
      <c r="H157" s="10"/>
      <c r="I157" s="10"/>
      <c r="J157" s="4"/>
      <c r="K157" s="4"/>
      <c r="L157" s="4"/>
      <c r="M157" s="38"/>
      <c r="N157" s="38"/>
      <c r="O157" s="38"/>
      <c r="P157" s="38"/>
      <c r="Q157" s="38"/>
      <c r="R157" s="38"/>
      <c r="S157" s="38"/>
      <c r="T157" s="39"/>
      <c r="U157" s="39"/>
      <c r="V157" s="39"/>
      <c r="W157" s="39"/>
      <c r="X157" s="37"/>
      <c r="Y157" s="40"/>
      <c r="Z157" s="40"/>
      <c r="AA157" s="40"/>
      <c r="AB157" s="40"/>
    </row>
    <row r="158" spans="1:28" s="29" customFormat="1" ht="15" x14ac:dyDescent="0.2">
      <c r="A158" s="10">
        <v>15098</v>
      </c>
      <c r="B158" s="11">
        <v>41967</v>
      </c>
      <c r="C158" s="12">
        <v>439</v>
      </c>
      <c r="D158" s="12"/>
      <c r="E158" s="13" t="s">
        <v>8</v>
      </c>
      <c r="F158" s="18"/>
      <c r="G158" s="19"/>
      <c r="H158" s="12"/>
      <c r="I158" s="10"/>
      <c r="J158" s="4"/>
      <c r="K158" s="4"/>
      <c r="L158" s="4"/>
      <c r="M158" s="38"/>
      <c r="N158" s="38"/>
      <c r="O158" s="38"/>
      <c r="P158" s="38"/>
      <c r="Q158" s="38"/>
      <c r="R158" s="38"/>
      <c r="S158" s="38"/>
      <c r="T158" s="39"/>
      <c r="U158" s="39"/>
      <c r="V158" s="39"/>
      <c r="W158" s="39"/>
      <c r="X158" s="37"/>
      <c r="Y158" s="40"/>
      <c r="Z158" s="40"/>
      <c r="AA158" s="40"/>
      <c r="AB158" s="40"/>
    </row>
    <row r="159" spans="1:28" s="29" customFormat="1" ht="15" x14ac:dyDescent="0.2">
      <c r="A159" s="10">
        <v>15099</v>
      </c>
      <c r="B159" s="11">
        <v>41967</v>
      </c>
      <c r="C159" s="12">
        <v>40</v>
      </c>
      <c r="D159" s="12"/>
      <c r="E159" s="13" t="s">
        <v>8</v>
      </c>
      <c r="H159" s="12"/>
      <c r="I159" s="10"/>
      <c r="J159" s="4"/>
      <c r="K159" s="4"/>
      <c r="L159" s="4"/>
      <c r="M159" s="38"/>
      <c r="N159" s="38"/>
      <c r="O159" s="38"/>
      <c r="P159" s="38"/>
      <c r="Q159" s="38"/>
      <c r="R159" s="38"/>
      <c r="S159" s="38"/>
      <c r="T159" s="39"/>
      <c r="U159" s="39"/>
      <c r="V159" s="39"/>
      <c r="W159" s="39"/>
      <c r="X159" s="37"/>
      <c r="Y159" s="40"/>
      <c r="Z159" s="40"/>
      <c r="AA159" s="40"/>
      <c r="AB159" s="40"/>
    </row>
    <row r="160" spans="1:28" s="29" customFormat="1" ht="15" x14ac:dyDescent="0.2">
      <c r="A160" s="10">
        <v>15100</v>
      </c>
      <c r="B160" s="11">
        <v>41967</v>
      </c>
      <c r="C160" s="12">
        <v>23.27</v>
      </c>
      <c r="D160" s="12">
        <v>1.77</v>
      </c>
      <c r="E160" s="15" t="s">
        <v>11</v>
      </c>
      <c r="F160" s="21"/>
      <c r="G160" s="22"/>
      <c r="H160" s="10"/>
      <c r="I160" s="10"/>
      <c r="J160" s="4"/>
      <c r="K160" s="4"/>
      <c r="L160" s="4"/>
      <c r="M160" s="38"/>
      <c r="N160" s="38"/>
      <c r="O160" s="38"/>
      <c r="P160" s="38"/>
      <c r="Q160" s="38"/>
      <c r="R160" s="38"/>
      <c r="S160" s="38"/>
      <c r="T160" s="39"/>
      <c r="U160" s="39"/>
      <c r="V160" s="39"/>
      <c r="W160" s="39"/>
      <c r="X160" s="37"/>
      <c r="Y160" s="40"/>
      <c r="Z160" s="40"/>
      <c r="AA160" s="40"/>
      <c r="AB160" s="40"/>
    </row>
    <row r="161" spans="1:28" s="29" customFormat="1" ht="15" x14ac:dyDescent="0.2">
      <c r="A161" s="10">
        <v>15101</v>
      </c>
      <c r="B161" s="11">
        <v>41967</v>
      </c>
      <c r="C161" s="12">
        <v>18.399999999999999</v>
      </c>
      <c r="D161" s="12">
        <v>1.4</v>
      </c>
      <c r="E161" s="13"/>
      <c r="F161" s="18"/>
      <c r="G161" s="19"/>
      <c r="H161" s="12"/>
      <c r="I161" s="10"/>
      <c r="J161" s="4"/>
      <c r="K161" s="4"/>
      <c r="L161" s="4"/>
      <c r="M161" s="38"/>
      <c r="N161" s="38"/>
      <c r="O161" s="38"/>
      <c r="P161" s="38"/>
      <c r="Q161" s="38"/>
      <c r="R161" s="38"/>
      <c r="S161" s="38"/>
      <c r="T161" s="39"/>
      <c r="U161" s="39"/>
      <c r="V161" s="39"/>
      <c r="W161" s="39"/>
      <c r="X161" s="37"/>
      <c r="Y161" s="40"/>
      <c r="Z161" s="40"/>
      <c r="AA161" s="40"/>
      <c r="AB161" s="40"/>
    </row>
    <row r="162" spans="1:28" s="29" customFormat="1" ht="15" x14ac:dyDescent="0.2">
      <c r="A162" s="10">
        <v>15102</v>
      </c>
      <c r="B162" s="11">
        <v>41967</v>
      </c>
      <c r="C162" s="12">
        <v>81.19</v>
      </c>
      <c r="D162" s="12">
        <v>6.19</v>
      </c>
      <c r="E162" s="15" t="s">
        <v>11</v>
      </c>
      <c r="H162" s="10"/>
      <c r="I162" s="10"/>
      <c r="J162" s="4"/>
      <c r="K162" s="4"/>
      <c r="L162" s="4"/>
      <c r="M162" s="38"/>
      <c r="N162" s="38"/>
      <c r="O162" s="38"/>
      <c r="P162" s="38"/>
      <c r="Q162" s="38"/>
      <c r="R162" s="38"/>
      <c r="S162" s="38"/>
      <c r="T162" s="39"/>
      <c r="U162" s="39"/>
      <c r="V162" s="39"/>
      <c r="W162" s="39"/>
      <c r="X162" s="37"/>
      <c r="Y162" s="40"/>
      <c r="Z162" s="40"/>
      <c r="AA162" s="40"/>
      <c r="AB162" s="40"/>
    </row>
    <row r="163" spans="1:28" s="29" customFormat="1" ht="15" x14ac:dyDescent="0.2">
      <c r="A163" s="10">
        <v>15103</v>
      </c>
      <c r="B163" s="11">
        <v>41967</v>
      </c>
      <c r="C163" s="12">
        <v>110</v>
      </c>
      <c r="D163" s="12"/>
      <c r="E163" s="13" t="s">
        <v>8</v>
      </c>
      <c r="F163" s="20">
        <f>+C155+C157+C139+C160+C162</f>
        <v>385.27000000000004</v>
      </c>
      <c r="G163" s="20">
        <v>379.39</v>
      </c>
      <c r="H163" s="12"/>
      <c r="I163" s="10"/>
      <c r="J163" s="4"/>
      <c r="K163" s="4"/>
      <c r="L163" s="4"/>
      <c r="M163" s="38"/>
      <c r="N163" s="38"/>
      <c r="O163" s="38"/>
      <c r="P163" s="38"/>
      <c r="Q163" s="38"/>
      <c r="R163" s="38"/>
      <c r="S163" s="38"/>
      <c r="T163" s="39"/>
      <c r="U163" s="39"/>
      <c r="V163" s="39"/>
      <c r="W163" s="39"/>
      <c r="X163" s="37"/>
      <c r="Y163" s="40"/>
      <c r="Z163" s="40"/>
      <c r="AA163" s="40"/>
      <c r="AB163" s="40"/>
    </row>
    <row r="164" spans="1:28" s="29" customFormat="1" ht="15" x14ac:dyDescent="0.2">
      <c r="A164" s="10">
        <v>15104</v>
      </c>
      <c r="B164" s="11">
        <v>41968</v>
      </c>
      <c r="C164" s="12">
        <v>168.33</v>
      </c>
      <c r="D164" s="12">
        <v>12.83</v>
      </c>
      <c r="E164" s="13" t="s">
        <v>68</v>
      </c>
      <c r="F164" s="18"/>
      <c r="G164" s="19"/>
      <c r="H164" s="12"/>
      <c r="I164" s="10"/>
      <c r="J164" s="4"/>
      <c r="K164" s="4"/>
      <c r="L164" s="4"/>
      <c r="M164" s="38"/>
      <c r="N164" s="38"/>
      <c r="O164" s="38"/>
      <c r="P164" s="38"/>
      <c r="Q164" s="38"/>
      <c r="R164" s="38"/>
      <c r="S164" s="38"/>
      <c r="T164" s="39"/>
      <c r="U164" s="39"/>
      <c r="V164" s="39"/>
      <c r="W164" s="39"/>
      <c r="X164" s="37"/>
      <c r="Y164" s="40"/>
      <c r="Z164" s="40"/>
      <c r="AA164" s="40"/>
      <c r="AB164" s="40"/>
    </row>
    <row r="165" spans="1:28" s="29" customFormat="1" ht="15" x14ac:dyDescent="0.2">
      <c r="A165" s="10">
        <v>15105</v>
      </c>
      <c r="B165" s="11">
        <v>41968</v>
      </c>
      <c r="C165" s="12">
        <v>60.62</v>
      </c>
      <c r="D165" s="12">
        <v>4.62</v>
      </c>
      <c r="E165" s="15" t="s">
        <v>11</v>
      </c>
      <c r="H165" s="10"/>
      <c r="I165" s="10"/>
      <c r="J165" s="4"/>
      <c r="K165" s="4"/>
      <c r="L165" s="4"/>
      <c r="M165" s="38"/>
      <c r="N165" s="38"/>
      <c r="O165" s="38"/>
      <c r="P165" s="38"/>
      <c r="Q165" s="38"/>
      <c r="R165" s="38"/>
      <c r="S165" s="38"/>
      <c r="T165" s="39"/>
      <c r="U165" s="39"/>
      <c r="V165" s="39"/>
      <c r="W165" s="39"/>
      <c r="X165" s="37"/>
      <c r="Y165" s="40"/>
      <c r="Z165" s="40"/>
      <c r="AA165" s="40"/>
      <c r="AB165" s="40"/>
    </row>
    <row r="166" spans="1:28" s="29" customFormat="1" ht="15" x14ac:dyDescent="0.2">
      <c r="A166" s="10">
        <v>15106</v>
      </c>
      <c r="B166" s="11">
        <v>41968</v>
      </c>
      <c r="C166" s="12">
        <v>258.72000000000003</v>
      </c>
      <c r="D166" s="12">
        <v>19.72</v>
      </c>
      <c r="E166" s="15" t="s">
        <v>11</v>
      </c>
      <c r="H166" s="10"/>
      <c r="I166" s="10"/>
      <c r="J166" s="4"/>
      <c r="K166" s="4"/>
      <c r="L166" s="4"/>
      <c r="M166" s="38"/>
      <c r="N166" s="38"/>
      <c r="O166" s="38"/>
      <c r="P166" s="38"/>
      <c r="Q166" s="38"/>
      <c r="R166" s="38"/>
      <c r="S166" s="38"/>
      <c r="T166" s="39"/>
      <c r="U166" s="39"/>
      <c r="V166" s="39"/>
      <c r="W166" s="39"/>
      <c r="X166" s="37"/>
      <c r="Y166" s="40"/>
      <c r="Z166" s="40"/>
      <c r="AA166" s="40"/>
      <c r="AB166" s="40"/>
    </row>
    <row r="167" spans="1:28" s="29" customFormat="1" ht="15" x14ac:dyDescent="0.2">
      <c r="A167" s="10">
        <v>15107</v>
      </c>
      <c r="B167" s="11">
        <v>41968</v>
      </c>
      <c r="C167" s="12">
        <v>44.000000000000007</v>
      </c>
      <c r="D167" s="12">
        <v>3.35</v>
      </c>
      <c r="E167" s="17"/>
      <c r="H167" s="12"/>
      <c r="I167" s="10"/>
      <c r="J167" s="4"/>
      <c r="K167" s="4"/>
      <c r="L167" s="4"/>
      <c r="M167" s="38"/>
      <c r="N167" s="38"/>
      <c r="O167" s="38"/>
      <c r="P167" s="38"/>
      <c r="Q167" s="38"/>
      <c r="R167" s="38"/>
      <c r="S167" s="38"/>
      <c r="T167" s="39"/>
      <c r="U167" s="39"/>
      <c r="V167" s="39"/>
      <c r="W167" s="39"/>
      <c r="X167" s="37"/>
      <c r="Y167" s="40"/>
      <c r="Z167" s="40"/>
      <c r="AA167" s="40"/>
      <c r="AB167" s="40"/>
    </row>
    <row r="168" spans="1:28" s="29" customFormat="1" ht="15" x14ac:dyDescent="0.2">
      <c r="A168" s="10">
        <v>15108</v>
      </c>
      <c r="B168" s="11">
        <v>41968</v>
      </c>
      <c r="C168" s="12">
        <v>14.02</v>
      </c>
      <c r="D168" s="12">
        <v>1.07</v>
      </c>
      <c r="E168" s="15" t="s">
        <v>11</v>
      </c>
      <c r="F168" s="20">
        <f>+C165+C166+C168</f>
        <v>333.36</v>
      </c>
      <c r="G168" s="20">
        <v>330.39</v>
      </c>
      <c r="H168" s="10"/>
      <c r="I168" s="10"/>
      <c r="J168" s="4"/>
      <c r="K168" s="4"/>
      <c r="L168" s="4"/>
      <c r="M168" s="38"/>
      <c r="N168" s="38"/>
      <c r="O168" s="38"/>
      <c r="P168" s="38"/>
      <c r="Q168" s="38"/>
      <c r="R168" s="38"/>
      <c r="S168" s="38"/>
      <c r="T168" s="39"/>
      <c r="U168" s="39"/>
      <c r="V168" s="39"/>
      <c r="W168" s="39"/>
      <c r="X168" s="37"/>
      <c r="Y168" s="40"/>
      <c r="Z168" s="40"/>
      <c r="AA168" s="40"/>
      <c r="AB168" s="40"/>
    </row>
    <row r="169" spans="1:28" s="29" customFormat="1" ht="15" x14ac:dyDescent="0.2">
      <c r="A169" s="10">
        <v>15109</v>
      </c>
      <c r="B169" s="11">
        <v>41969</v>
      </c>
      <c r="C169" s="12">
        <v>71.45</v>
      </c>
      <c r="D169" s="12">
        <v>5.45</v>
      </c>
      <c r="E169" s="17"/>
      <c r="H169" s="12"/>
      <c r="I169" s="10"/>
      <c r="J169" s="4"/>
      <c r="K169" s="4"/>
      <c r="L169" s="4"/>
      <c r="M169" s="38"/>
      <c r="N169" s="38"/>
      <c r="O169" s="38"/>
      <c r="P169" s="38"/>
      <c r="Q169" s="38"/>
      <c r="R169" s="38"/>
      <c r="S169" s="38"/>
      <c r="T169" s="39"/>
      <c r="U169" s="39"/>
      <c r="V169" s="39"/>
      <c r="W169" s="39"/>
      <c r="X169" s="37"/>
      <c r="Y169" s="40"/>
      <c r="Z169" s="40"/>
      <c r="AA169" s="40"/>
      <c r="AB169" s="40"/>
    </row>
    <row r="170" spans="1:28" s="29" customFormat="1" ht="15" x14ac:dyDescent="0.2">
      <c r="A170" s="10">
        <v>15110</v>
      </c>
      <c r="B170" s="11">
        <v>41969</v>
      </c>
      <c r="C170" s="12">
        <v>30</v>
      </c>
      <c r="D170" s="12"/>
      <c r="E170" s="13" t="s">
        <v>69</v>
      </c>
      <c r="F170" s="18"/>
      <c r="G170" s="19"/>
      <c r="H170" s="12"/>
      <c r="I170" s="10"/>
      <c r="J170" s="4"/>
      <c r="K170" s="4"/>
      <c r="L170" s="4"/>
      <c r="M170" s="38"/>
      <c r="N170" s="38"/>
      <c r="O170" s="38"/>
      <c r="P170" s="38"/>
      <c r="Q170" s="38"/>
      <c r="R170" s="38"/>
      <c r="S170" s="38"/>
      <c r="T170" s="39"/>
      <c r="U170" s="39"/>
      <c r="V170" s="39"/>
      <c r="W170" s="39"/>
      <c r="X170" s="37"/>
      <c r="Y170" s="40"/>
      <c r="Z170" s="40"/>
      <c r="AA170" s="40"/>
      <c r="AB170" s="40"/>
    </row>
    <row r="171" spans="1:28" s="29" customFormat="1" ht="15" x14ac:dyDescent="0.2">
      <c r="A171" s="10">
        <v>15111</v>
      </c>
      <c r="B171" s="11">
        <v>41969</v>
      </c>
      <c r="C171" s="12">
        <v>196.47</v>
      </c>
      <c r="D171" s="12">
        <v>14.97</v>
      </c>
      <c r="E171" s="15" t="s">
        <v>7</v>
      </c>
      <c r="H171" s="10"/>
      <c r="I171" s="10"/>
      <c r="J171" s="4"/>
      <c r="K171" s="4"/>
      <c r="L171" s="4"/>
      <c r="M171" s="38"/>
      <c r="N171" s="38"/>
      <c r="O171" s="38"/>
      <c r="P171" s="38"/>
      <c r="Q171" s="38"/>
      <c r="R171" s="38"/>
      <c r="S171" s="38"/>
      <c r="T171" s="39"/>
      <c r="U171" s="39"/>
      <c r="V171" s="39"/>
      <c r="W171" s="39"/>
      <c r="X171" s="37"/>
      <c r="Y171" s="40"/>
      <c r="Z171" s="40"/>
      <c r="AA171" s="40"/>
      <c r="AB171" s="40"/>
    </row>
    <row r="172" spans="1:28" s="29" customFormat="1" ht="15" x14ac:dyDescent="0.2">
      <c r="A172" s="10">
        <v>15112</v>
      </c>
      <c r="B172" s="11">
        <v>41969</v>
      </c>
      <c r="C172" s="12">
        <v>97.26</v>
      </c>
      <c r="D172" s="12">
        <v>7.41</v>
      </c>
      <c r="E172" s="15" t="s">
        <v>21</v>
      </c>
      <c r="H172" s="10"/>
      <c r="I172" s="10"/>
      <c r="J172" s="4"/>
      <c r="K172" s="4"/>
      <c r="L172" s="4"/>
      <c r="M172" s="38"/>
      <c r="N172" s="38"/>
      <c r="O172" s="38"/>
      <c r="P172" s="38"/>
      <c r="Q172" s="38"/>
      <c r="R172" s="38"/>
      <c r="S172" s="38"/>
      <c r="T172" s="39"/>
      <c r="U172" s="39"/>
      <c r="V172" s="39"/>
      <c r="W172" s="39"/>
      <c r="X172" s="37"/>
      <c r="Y172" s="40"/>
      <c r="Z172" s="40"/>
      <c r="AA172" s="40"/>
      <c r="AB172" s="40"/>
    </row>
    <row r="173" spans="1:28" s="29" customFormat="1" ht="15" x14ac:dyDescent="0.2">
      <c r="A173" s="10">
        <v>15113</v>
      </c>
      <c r="B173" s="11">
        <v>41969</v>
      </c>
      <c r="C173" s="12">
        <v>27.06</v>
      </c>
      <c r="D173" s="12">
        <v>2.06</v>
      </c>
      <c r="E173" s="15" t="s">
        <v>11</v>
      </c>
      <c r="F173" s="21"/>
      <c r="G173" s="22"/>
      <c r="H173" s="10"/>
      <c r="I173" s="10"/>
      <c r="J173" s="4"/>
      <c r="K173" s="4"/>
      <c r="L173" s="4"/>
      <c r="M173" s="38"/>
      <c r="N173" s="38"/>
      <c r="O173" s="38"/>
      <c r="P173" s="38"/>
      <c r="Q173" s="38"/>
      <c r="R173" s="38"/>
      <c r="S173" s="38"/>
      <c r="T173" s="39"/>
      <c r="U173" s="39"/>
      <c r="V173" s="39"/>
      <c r="W173" s="39"/>
      <c r="X173" s="37"/>
      <c r="Y173" s="40"/>
      <c r="Z173" s="40"/>
      <c r="AA173" s="40"/>
      <c r="AB173" s="40"/>
    </row>
    <row r="174" spans="1:28" s="29" customFormat="1" ht="15" x14ac:dyDescent="0.2">
      <c r="A174" s="10">
        <v>15114</v>
      </c>
      <c r="B174" s="11">
        <v>41969</v>
      </c>
      <c r="C174" s="12">
        <v>10.780000000000001</v>
      </c>
      <c r="D174" s="12">
        <v>0.82</v>
      </c>
      <c r="E174" s="15" t="s">
        <v>11</v>
      </c>
      <c r="F174" s="21"/>
      <c r="G174" s="22"/>
      <c r="H174" s="10"/>
      <c r="I174" s="10"/>
      <c r="J174" s="4"/>
      <c r="K174" s="4"/>
      <c r="L174" s="4"/>
      <c r="M174" s="38"/>
      <c r="N174" s="38"/>
      <c r="O174" s="38"/>
      <c r="P174" s="38"/>
      <c r="Q174" s="38"/>
      <c r="R174" s="38"/>
      <c r="S174" s="38"/>
      <c r="T174" s="39"/>
      <c r="U174" s="39"/>
      <c r="V174" s="39"/>
      <c r="W174" s="39"/>
      <c r="X174" s="37"/>
      <c r="Y174" s="40"/>
      <c r="Z174" s="40"/>
      <c r="AA174" s="40"/>
      <c r="AB174" s="40"/>
    </row>
    <row r="175" spans="1:28" s="29" customFormat="1" ht="15" x14ac:dyDescent="0.2">
      <c r="A175" s="10">
        <v>15115</v>
      </c>
      <c r="B175" s="11">
        <v>41969</v>
      </c>
      <c r="C175" s="12">
        <v>11.95</v>
      </c>
      <c r="D175" s="12"/>
      <c r="E175" s="13" t="s">
        <v>8</v>
      </c>
      <c r="F175" s="18"/>
      <c r="G175" s="19"/>
      <c r="H175" s="12"/>
      <c r="I175" s="10"/>
      <c r="J175" s="4"/>
      <c r="K175" s="4"/>
      <c r="L175" s="4"/>
      <c r="M175" s="38"/>
      <c r="N175" s="38"/>
      <c r="O175" s="38"/>
      <c r="P175" s="38"/>
      <c r="Q175" s="38"/>
      <c r="R175" s="38"/>
      <c r="S175" s="38"/>
      <c r="T175" s="39"/>
      <c r="U175" s="39"/>
      <c r="V175" s="39"/>
      <c r="W175" s="39"/>
      <c r="X175" s="37"/>
      <c r="Y175" s="40"/>
      <c r="Z175" s="40"/>
      <c r="AA175" s="40"/>
      <c r="AB175" s="40"/>
    </row>
    <row r="176" spans="1:28" s="29" customFormat="1" ht="15" x14ac:dyDescent="0.2">
      <c r="A176" s="10">
        <v>15116</v>
      </c>
      <c r="B176" s="11">
        <v>41969</v>
      </c>
      <c r="C176" s="12">
        <v>257.64</v>
      </c>
      <c r="D176" s="12">
        <v>19.64</v>
      </c>
      <c r="E176" s="17"/>
      <c r="H176" s="12"/>
      <c r="I176" s="10"/>
      <c r="J176" s="4"/>
      <c r="K176" s="4"/>
      <c r="L176" s="4"/>
      <c r="M176" s="38"/>
      <c r="N176" s="38"/>
      <c r="O176" s="38"/>
      <c r="P176" s="38"/>
      <c r="Q176" s="38"/>
      <c r="R176" s="38"/>
      <c r="S176" s="38"/>
      <c r="T176" s="39"/>
      <c r="U176" s="39"/>
      <c r="V176" s="39"/>
      <c r="W176" s="39"/>
      <c r="X176" s="37"/>
      <c r="Y176" s="40"/>
      <c r="Z176" s="40"/>
      <c r="AA176" s="40"/>
      <c r="AB176" s="40"/>
    </row>
    <row r="177" spans="1:28" s="29" customFormat="1" ht="15" x14ac:dyDescent="0.2">
      <c r="A177" s="10">
        <v>15117</v>
      </c>
      <c r="B177" s="11">
        <v>41969</v>
      </c>
      <c r="C177" s="12">
        <v>124.49</v>
      </c>
      <c r="D177" s="12">
        <v>9.49</v>
      </c>
      <c r="E177" s="17"/>
      <c r="H177" s="12"/>
      <c r="I177" s="10"/>
      <c r="J177" s="4"/>
      <c r="K177" s="4"/>
      <c r="L177" s="4"/>
      <c r="M177" s="38"/>
      <c r="N177" s="38"/>
      <c r="O177" s="38"/>
      <c r="P177" s="38"/>
      <c r="Q177" s="38"/>
      <c r="R177" s="38"/>
      <c r="S177" s="38"/>
      <c r="T177" s="39"/>
      <c r="U177" s="39"/>
      <c r="V177" s="39"/>
      <c r="W177" s="39"/>
      <c r="X177" s="37"/>
      <c r="Y177" s="40"/>
      <c r="Z177" s="40"/>
      <c r="AA177" s="40"/>
      <c r="AB177" s="40"/>
    </row>
    <row r="178" spans="1:28" s="29" customFormat="1" ht="15" x14ac:dyDescent="0.2">
      <c r="A178" s="10">
        <v>15118</v>
      </c>
      <c r="B178" s="11">
        <v>41969</v>
      </c>
      <c r="C178" s="12">
        <v>14.7</v>
      </c>
      <c r="D178" s="12"/>
      <c r="E178" s="17"/>
      <c r="F178" s="18"/>
      <c r="G178" s="19"/>
      <c r="H178" s="12"/>
      <c r="I178" s="10"/>
      <c r="J178" s="4"/>
      <c r="K178" s="4"/>
      <c r="L178" s="4"/>
      <c r="M178" s="38"/>
      <c r="N178" s="38"/>
      <c r="O178" s="38"/>
      <c r="P178" s="38"/>
      <c r="Q178" s="38"/>
      <c r="R178" s="38"/>
      <c r="S178" s="38"/>
      <c r="T178" s="39"/>
      <c r="U178" s="39"/>
      <c r="V178" s="39"/>
      <c r="W178" s="39"/>
      <c r="X178" s="37"/>
      <c r="Y178" s="40"/>
      <c r="Z178" s="40"/>
      <c r="AA178" s="40"/>
      <c r="AB178" s="40"/>
    </row>
    <row r="179" spans="1:28" s="29" customFormat="1" ht="15" x14ac:dyDescent="0.2">
      <c r="A179" s="10">
        <v>15119</v>
      </c>
      <c r="B179" s="11">
        <v>41969</v>
      </c>
      <c r="C179" s="12">
        <v>30</v>
      </c>
      <c r="D179" s="12">
        <v>2.29</v>
      </c>
      <c r="E179" s="15" t="s">
        <v>7</v>
      </c>
      <c r="F179" s="20">
        <f>+C173+C174+C171+C179-2.29</f>
        <v>262.02</v>
      </c>
      <c r="G179" s="20">
        <v>256.41000000000003</v>
      </c>
      <c r="H179" s="10"/>
      <c r="I179" s="10"/>
      <c r="J179" s="4"/>
      <c r="K179" s="4"/>
      <c r="L179" s="4"/>
      <c r="M179" s="38"/>
      <c r="N179" s="38"/>
      <c r="O179" s="38"/>
      <c r="P179" s="38"/>
      <c r="Q179" s="38"/>
      <c r="R179" s="38"/>
      <c r="S179" s="38"/>
      <c r="T179" s="39"/>
      <c r="U179" s="39"/>
      <c r="V179" s="39"/>
      <c r="W179" s="39"/>
      <c r="X179" s="37"/>
      <c r="Y179" s="40"/>
      <c r="Z179" s="40"/>
      <c r="AA179" s="40"/>
      <c r="AB179" s="40"/>
    </row>
    <row r="180" spans="1:28" s="29" customFormat="1" ht="15" x14ac:dyDescent="0.2">
      <c r="A180" s="10">
        <v>15120</v>
      </c>
      <c r="B180" s="11">
        <v>41971</v>
      </c>
      <c r="C180" s="12">
        <v>11</v>
      </c>
      <c r="D180" s="12"/>
      <c r="E180" s="13" t="s">
        <v>65</v>
      </c>
      <c r="H180" s="12"/>
      <c r="I180" s="10"/>
      <c r="J180" s="4"/>
      <c r="K180" s="4"/>
      <c r="L180" s="4"/>
      <c r="M180" s="38"/>
      <c r="N180" s="38"/>
      <c r="O180" s="38"/>
      <c r="P180" s="38"/>
      <c r="Q180" s="38"/>
      <c r="R180" s="38"/>
      <c r="S180" s="38"/>
      <c r="T180" s="39"/>
      <c r="U180" s="39"/>
      <c r="V180" s="39"/>
      <c r="W180" s="39"/>
      <c r="X180" s="37"/>
      <c r="Y180" s="40"/>
      <c r="Z180" s="40"/>
      <c r="AA180" s="40"/>
      <c r="AB180" s="40"/>
    </row>
    <row r="181" spans="1:28" s="29" customFormat="1" ht="15" x14ac:dyDescent="0.2">
      <c r="A181" s="10">
        <v>15121</v>
      </c>
      <c r="B181" s="11">
        <v>41971</v>
      </c>
      <c r="C181" s="12">
        <v>40</v>
      </c>
      <c r="D181" s="12"/>
      <c r="E181" s="15" t="s">
        <v>7</v>
      </c>
      <c r="H181" s="10"/>
      <c r="I181" s="10"/>
      <c r="J181" s="4"/>
      <c r="K181" s="4"/>
      <c r="L181" s="4"/>
      <c r="M181" s="38"/>
      <c r="N181" s="38"/>
      <c r="O181" s="38"/>
      <c r="P181" s="38"/>
      <c r="Q181" s="38"/>
      <c r="R181" s="38"/>
      <c r="S181" s="38"/>
      <c r="T181" s="39"/>
      <c r="U181" s="39"/>
      <c r="V181" s="39"/>
      <c r="W181" s="39"/>
      <c r="X181" s="37"/>
      <c r="Y181" s="40"/>
      <c r="Z181" s="40"/>
      <c r="AA181" s="40"/>
      <c r="AB181" s="40"/>
    </row>
    <row r="182" spans="1:28" s="29" customFormat="1" ht="15" x14ac:dyDescent="0.2">
      <c r="A182" s="10">
        <v>15122</v>
      </c>
      <c r="B182" s="11">
        <v>41971</v>
      </c>
      <c r="C182" s="12">
        <v>8</v>
      </c>
      <c r="D182" s="12"/>
      <c r="E182" s="15" t="s">
        <v>25</v>
      </c>
      <c r="F182" s="21"/>
      <c r="G182" s="22"/>
      <c r="H182" s="10"/>
      <c r="I182" s="10"/>
      <c r="J182" s="4"/>
      <c r="K182" s="4"/>
      <c r="L182" s="4"/>
      <c r="M182" s="38"/>
      <c r="N182" s="38"/>
      <c r="O182" s="38"/>
      <c r="P182" s="38"/>
      <c r="Q182" s="38"/>
      <c r="R182" s="38"/>
      <c r="S182" s="38"/>
      <c r="T182" s="39"/>
      <c r="U182" s="39"/>
      <c r="V182" s="39"/>
      <c r="W182" s="39"/>
      <c r="X182" s="37"/>
      <c r="Y182" s="40"/>
      <c r="Z182" s="40"/>
      <c r="AA182" s="40"/>
      <c r="AB182" s="40"/>
    </row>
    <row r="183" spans="1:28" s="29" customFormat="1" ht="15" x14ac:dyDescent="0.2">
      <c r="A183" s="10">
        <v>15123</v>
      </c>
      <c r="B183" s="11">
        <v>41971</v>
      </c>
      <c r="C183" s="12">
        <v>20</v>
      </c>
      <c r="D183" s="12"/>
      <c r="E183" s="15" t="s">
        <v>7</v>
      </c>
      <c r="H183" s="10"/>
      <c r="I183" s="10"/>
      <c r="J183" s="4"/>
      <c r="K183" s="4"/>
      <c r="L183" s="4"/>
      <c r="M183" s="38"/>
      <c r="N183" s="38"/>
      <c r="O183" s="38"/>
      <c r="P183" s="38"/>
      <c r="Q183" s="38"/>
      <c r="R183" s="38"/>
      <c r="S183" s="38"/>
      <c r="T183" s="39"/>
      <c r="U183" s="39"/>
      <c r="V183" s="39"/>
      <c r="W183" s="39"/>
      <c r="X183" s="37"/>
      <c r="Y183" s="40"/>
      <c r="Z183" s="40"/>
      <c r="AA183" s="40"/>
      <c r="AB183" s="40"/>
    </row>
    <row r="184" spans="1:28" s="29" customFormat="1" ht="15" x14ac:dyDescent="0.2">
      <c r="A184" s="10">
        <v>15124</v>
      </c>
      <c r="B184" s="11">
        <v>41971</v>
      </c>
      <c r="C184" s="12">
        <v>30</v>
      </c>
      <c r="D184" s="12">
        <v>2.29</v>
      </c>
      <c r="E184" s="15"/>
      <c r="F184" s="21"/>
      <c r="G184" s="22"/>
      <c r="H184" s="10"/>
      <c r="I184" s="10"/>
      <c r="J184" s="4"/>
      <c r="K184" s="4"/>
      <c r="L184" s="4"/>
      <c r="M184" s="38"/>
      <c r="N184" s="38"/>
      <c r="O184" s="38"/>
      <c r="P184" s="38"/>
      <c r="Q184" s="38"/>
      <c r="R184" s="38"/>
      <c r="S184" s="38"/>
      <c r="T184" s="39"/>
      <c r="U184" s="39"/>
      <c r="V184" s="39"/>
      <c r="W184" s="39"/>
      <c r="X184" s="37"/>
      <c r="Y184" s="40"/>
      <c r="Z184" s="40"/>
      <c r="AA184" s="40"/>
      <c r="AB184" s="40"/>
    </row>
    <row r="185" spans="1:28" s="29" customFormat="1" ht="15" x14ac:dyDescent="0.2">
      <c r="A185" s="10">
        <v>15125</v>
      </c>
      <c r="B185" s="11">
        <v>41971</v>
      </c>
      <c r="C185" s="12">
        <v>26</v>
      </c>
      <c r="D185" s="12"/>
      <c r="E185" s="13" t="s">
        <v>8</v>
      </c>
      <c r="H185" s="12"/>
      <c r="I185" s="10"/>
      <c r="J185" s="4"/>
      <c r="K185" s="4"/>
      <c r="L185" s="4"/>
      <c r="M185" s="38"/>
      <c r="N185" s="38"/>
      <c r="O185" s="38"/>
      <c r="P185" s="38"/>
      <c r="Q185" s="38"/>
      <c r="R185" s="38"/>
      <c r="S185" s="38"/>
      <c r="T185" s="39"/>
      <c r="U185" s="39"/>
      <c r="V185" s="39"/>
      <c r="W185" s="39"/>
      <c r="X185" s="37"/>
      <c r="Y185" s="40"/>
      <c r="Z185" s="40"/>
      <c r="AA185" s="40"/>
      <c r="AB185" s="40"/>
    </row>
    <row r="186" spans="1:28" s="29" customFormat="1" ht="15" x14ac:dyDescent="0.2">
      <c r="A186" s="10">
        <v>15126</v>
      </c>
      <c r="B186" s="11">
        <v>41971</v>
      </c>
      <c r="C186" s="12">
        <v>2315.4699999999998</v>
      </c>
      <c r="D186" s="12">
        <v>176.47</v>
      </c>
      <c r="E186" s="15" t="s">
        <v>26</v>
      </c>
      <c r="F186" s="21"/>
      <c r="G186" s="22"/>
      <c r="H186" s="10"/>
      <c r="I186" s="10"/>
      <c r="J186" s="4"/>
      <c r="K186" s="4"/>
      <c r="L186" s="4"/>
      <c r="M186" s="38"/>
      <c r="N186" s="38"/>
      <c r="O186" s="38"/>
      <c r="P186" s="38"/>
      <c r="Q186" s="38"/>
      <c r="R186" s="38"/>
      <c r="S186" s="38"/>
      <c r="T186" s="39"/>
      <c r="U186" s="39"/>
      <c r="V186" s="39"/>
      <c r="W186" s="39"/>
      <c r="X186" s="37"/>
      <c r="Y186" s="40"/>
      <c r="Z186" s="40"/>
      <c r="AA186" s="40"/>
      <c r="AB186" s="40"/>
    </row>
    <row r="187" spans="1:28" s="29" customFormat="1" ht="15" x14ac:dyDescent="0.2">
      <c r="A187" s="10">
        <v>15127</v>
      </c>
      <c r="B187" s="11">
        <v>41971</v>
      </c>
      <c r="C187" s="12">
        <v>732.85</v>
      </c>
      <c r="D187" s="12">
        <v>55.85</v>
      </c>
      <c r="E187" s="15" t="s">
        <v>26</v>
      </c>
      <c r="F187" s="20">
        <f>97.26+C181+C183</f>
        <v>157.26</v>
      </c>
      <c r="G187" s="20">
        <v>155.77000000000001</v>
      </c>
      <c r="H187" s="10"/>
      <c r="I187" s="10"/>
      <c r="J187" s="4"/>
      <c r="K187" s="4"/>
      <c r="L187" s="4"/>
      <c r="M187" s="38"/>
      <c r="N187" s="38"/>
      <c r="O187" s="38"/>
      <c r="P187" s="38"/>
      <c r="Q187" s="38"/>
      <c r="R187" s="38"/>
      <c r="S187" s="38"/>
      <c r="T187" s="39"/>
      <c r="U187" s="39"/>
      <c r="V187" s="39"/>
      <c r="W187" s="39"/>
      <c r="X187" s="37"/>
      <c r="Y187" s="40"/>
      <c r="Z187" s="40"/>
      <c r="AA187" s="40"/>
      <c r="AB187" s="40"/>
    </row>
    <row r="188" spans="1:28" s="29" customFormat="1" ht="15" x14ac:dyDescent="0.2">
      <c r="A188" s="10">
        <v>15128</v>
      </c>
      <c r="B188" s="11">
        <v>41972</v>
      </c>
      <c r="C188" s="12">
        <v>8.9599999999999991</v>
      </c>
      <c r="D188" s="12">
        <v>0.68</v>
      </c>
      <c r="E188" s="17"/>
      <c r="F188" s="18"/>
      <c r="G188" s="19"/>
      <c r="H188" s="12"/>
      <c r="I188" s="10"/>
      <c r="J188" s="4"/>
      <c r="K188" s="4"/>
      <c r="L188" s="4"/>
      <c r="M188" s="38"/>
      <c r="N188" s="38"/>
      <c r="O188" s="38"/>
      <c r="P188" s="38"/>
      <c r="Q188" s="38"/>
      <c r="R188" s="38"/>
      <c r="S188" s="38"/>
      <c r="T188" s="39"/>
      <c r="U188" s="39"/>
      <c r="V188" s="39"/>
      <c r="W188" s="39"/>
      <c r="X188" s="37"/>
      <c r="Y188" s="40"/>
      <c r="Z188" s="40"/>
      <c r="AA188" s="40"/>
      <c r="AB188" s="40"/>
    </row>
    <row r="189" spans="1:28" s="29" customFormat="1" ht="15" x14ac:dyDescent="0.2">
      <c r="A189" s="10">
        <v>15129</v>
      </c>
      <c r="B189" s="11">
        <v>41972</v>
      </c>
      <c r="C189" s="12">
        <v>140</v>
      </c>
      <c r="D189" s="12"/>
      <c r="E189" s="13" t="s">
        <v>8</v>
      </c>
      <c r="H189" s="12"/>
      <c r="I189" s="10"/>
      <c r="J189" s="4"/>
      <c r="K189" s="4"/>
      <c r="L189" s="4"/>
      <c r="M189" s="38"/>
      <c r="N189" s="38"/>
      <c r="O189" s="38"/>
      <c r="P189" s="38"/>
      <c r="Q189" s="38"/>
      <c r="R189" s="38"/>
      <c r="S189" s="38"/>
      <c r="T189" s="39"/>
      <c r="U189" s="39"/>
      <c r="V189" s="39"/>
      <c r="W189" s="39"/>
      <c r="X189" s="37"/>
      <c r="Y189" s="40"/>
      <c r="Z189" s="40"/>
      <c r="AA189" s="40"/>
      <c r="AB189" s="40"/>
    </row>
    <row r="190" spans="1:28" s="29" customFormat="1" ht="15" x14ac:dyDescent="0.2">
      <c r="A190" s="10">
        <v>15130</v>
      </c>
      <c r="B190" s="11">
        <v>41972</v>
      </c>
      <c r="C190" s="12">
        <v>7.5200000000000005</v>
      </c>
      <c r="D190" s="12">
        <v>0.56999999999999995</v>
      </c>
      <c r="E190" s="17"/>
      <c r="F190" s="18"/>
      <c r="G190" s="19"/>
      <c r="H190" s="12"/>
      <c r="I190" s="10"/>
      <c r="J190" s="4"/>
      <c r="K190" s="4"/>
      <c r="L190" s="4"/>
      <c r="M190" s="38"/>
      <c r="N190" s="38"/>
      <c r="O190" s="38"/>
      <c r="P190" s="38"/>
      <c r="Q190" s="38"/>
      <c r="R190" s="38"/>
      <c r="S190" s="38"/>
      <c r="T190" s="39"/>
      <c r="U190" s="39"/>
      <c r="V190" s="39"/>
      <c r="W190" s="39"/>
      <c r="X190" s="37"/>
      <c r="Y190" s="40"/>
      <c r="Z190" s="40"/>
      <c r="AA190" s="40"/>
      <c r="AB190" s="40"/>
    </row>
    <row r="191" spans="1:28" s="29" customFormat="1" ht="15" x14ac:dyDescent="0.2">
      <c r="A191" s="10">
        <v>15131</v>
      </c>
      <c r="B191" s="11">
        <v>41972</v>
      </c>
      <c r="C191" s="12">
        <v>167.79</v>
      </c>
      <c r="D191" s="12">
        <v>12.79</v>
      </c>
      <c r="E191" s="13" t="s">
        <v>70</v>
      </c>
      <c r="H191" s="12"/>
      <c r="I191" s="10"/>
      <c r="J191" s="4"/>
      <c r="K191" s="4"/>
      <c r="L191" s="4"/>
      <c r="M191" s="38"/>
      <c r="N191" s="38"/>
      <c r="O191" s="38"/>
      <c r="P191" s="38"/>
      <c r="Q191" s="38"/>
      <c r="R191" s="38"/>
      <c r="S191" s="38"/>
      <c r="T191" s="39"/>
      <c r="U191" s="39"/>
      <c r="V191" s="39"/>
      <c r="W191" s="39"/>
      <c r="X191" s="37"/>
      <c r="Y191" s="40"/>
      <c r="Z191" s="40"/>
      <c r="AA191" s="40"/>
      <c r="AB191" s="40"/>
    </row>
    <row r="192" spans="1:28" s="29" customFormat="1" ht="15" x14ac:dyDescent="0.2">
      <c r="A192" s="10">
        <v>15132</v>
      </c>
      <c r="B192" s="11">
        <v>41972</v>
      </c>
      <c r="C192" s="12">
        <v>24.84</v>
      </c>
      <c r="D192" s="12">
        <v>1.89</v>
      </c>
      <c r="E192" s="17"/>
      <c r="F192" s="18"/>
      <c r="G192" s="19"/>
      <c r="H192" s="12"/>
      <c r="I192" s="10"/>
      <c r="J192" s="4"/>
      <c r="K192" s="4"/>
      <c r="L192" s="4"/>
      <c r="M192" s="38"/>
      <c r="N192" s="38"/>
      <c r="O192" s="38"/>
      <c r="P192" s="38"/>
      <c r="Q192" s="38"/>
      <c r="R192" s="38"/>
      <c r="S192" s="38"/>
      <c r="T192" s="39"/>
      <c r="U192" s="39"/>
      <c r="V192" s="39"/>
      <c r="W192" s="39"/>
      <c r="X192" s="37"/>
      <c r="Y192" s="40"/>
      <c r="Z192" s="40"/>
      <c r="AA192" s="40"/>
      <c r="AB192" s="40"/>
    </row>
    <row r="193" spans="1:28" s="29" customFormat="1" ht="15" x14ac:dyDescent="0.2">
      <c r="A193" s="10">
        <v>15133</v>
      </c>
      <c r="B193" s="11">
        <v>41972</v>
      </c>
      <c r="C193" s="12">
        <v>29.23</v>
      </c>
      <c r="D193" s="12">
        <v>2.23</v>
      </c>
      <c r="E193" s="15" t="s">
        <v>11</v>
      </c>
      <c r="H193" s="10"/>
      <c r="I193" s="10"/>
      <c r="J193" s="4"/>
      <c r="K193" s="4"/>
      <c r="L193" s="4"/>
      <c r="M193" s="38"/>
      <c r="N193" s="38"/>
      <c r="O193" s="38"/>
      <c r="P193" s="38"/>
      <c r="Q193" s="38"/>
      <c r="R193" s="38"/>
      <c r="S193" s="38"/>
      <c r="T193" s="39"/>
      <c r="U193" s="39"/>
      <c r="V193" s="39"/>
      <c r="W193" s="39"/>
      <c r="X193" s="37"/>
      <c r="Y193" s="40"/>
      <c r="Z193" s="40"/>
      <c r="AA193" s="40"/>
      <c r="AB193" s="40"/>
    </row>
    <row r="194" spans="1:28" s="29" customFormat="1" ht="15" x14ac:dyDescent="0.2">
      <c r="A194" s="10">
        <v>15134</v>
      </c>
      <c r="B194" s="11">
        <v>41972</v>
      </c>
      <c r="C194" s="12">
        <v>290.11</v>
      </c>
      <c r="D194" s="12">
        <v>22.11</v>
      </c>
      <c r="E194" s="15" t="s">
        <v>11</v>
      </c>
      <c r="F194" s="21"/>
      <c r="G194" s="22"/>
      <c r="H194" s="10"/>
      <c r="I194" s="10"/>
      <c r="J194" s="4"/>
      <c r="K194" s="4"/>
      <c r="L194" s="4"/>
      <c r="M194" s="38"/>
      <c r="N194" s="38"/>
      <c r="O194" s="38"/>
      <c r="P194" s="38"/>
      <c r="Q194" s="38"/>
      <c r="R194" s="38"/>
      <c r="S194" s="38"/>
      <c r="T194" s="39"/>
      <c r="U194" s="39"/>
      <c r="V194" s="39"/>
      <c r="W194" s="39"/>
      <c r="X194" s="37"/>
      <c r="Y194" s="40"/>
      <c r="Z194" s="40"/>
      <c r="AA194" s="40"/>
      <c r="AB194" s="40"/>
    </row>
    <row r="195" spans="1:28" s="29" customFormat="1" ht="15" x14ac:dyDescent="0.2">
      <c r="A195" s="10">
        <v>15135</v>
      </c>
      <c r="B195" s="11">
        <v>41972</v>
      </c>
      <c r="C195" s="12">
        <v>86.6</v>
      </c>
      <c r="D195" s="12">
        <v>6.6</v>
      </c>
      <c r="E195" s="15" t="s">
        <v>7</v>
      </c>
      <c r="H195" s="10"/>
      <c r="I195" s="10"/>
      <c r="J195" s="4"/>
      <c r="K195" s="4"/>
      <c r="L195" s="4"/>
      <c r="M195" s="38"/>
      <c r="N195" s="38"/>
      <c r="O195" s="38"/>
      <c r="P195" s="38"/>
      <c r="Q195" s="38"/>
      <c r="R195" s="38"/>
      <c r="S195" s="38"/>
      <c r="T195" s="39"/>
      <c r="U195" s="39"/>
      <c r="V195" s="39"/>
      <c r="W195" s="39"/>
      <c r="X195" s="37"/>
      <c r="Y195" s="40"/>
      <c r="Z195" s="40"/>
      <c r="AA195" s="40"/>
      <c r="AB195" s="40"/>
    </row>
    <row r="196" spans="1:28" s="29" customFormat="1" ht="15" x14ac:dyDescent="0.2">
      <c r="A196" s="10">
        <v>15136</v>
      </c>
      <c r="B196" s="11">
        <v>41972</v>
      </c>
      <c r="C196" s="12">
        <v>20.57</v>
      </c>
      <c r="D196" s="12">
        <v>1.57</v>
      </c>
      <c r="E196" s="17"/>
      <c r="F196" s="20">
        <f>86.49+C193+C194+C195</f>
        <v>492.43000000000006</v>
      </c>
      <c r="G196" s="20">
        <v>488.55</v>
      </c>
      <c r="H196" s="12"/>
      <c r="I196" s="10"/>
      <c r="J196" s="4"/>
      <c r="K196" s="4"/>
      <c r="L196" s="4"/>
      <c r="M196" s="38"/>
      <c r="N196" s="38"/>
      <c r="O196" s="38"/>
      <c r="P196" s="38"/>
      <c r="Q196" s="38"/>
      <c r="R196" s="38"/>
      <c r="S196" s="38"/>
      <c r="T196" s="39"/>
      <c r="U196" s="39"/>
      <c r="V196" s="39"/>
      <c r="W196" s="39"/>
      <c r="X196" s="37"/>
      <c r="Y196" s="40"/>
      <c r="Z196" s="40"/>
      <c r="AA196" s="40"/>
      <c r="AB196" s="40"/>
    </row>
    <row r="197" spans="1:28" x14ac:dyDescent="0.2">
      <c r="E197" s="23"/>
    </row>
    <row r="198" spans="1:28" x14ac:dyDescent="0.2">
      <c r="E198" s="26"/>
      <c r="I198" s="5"/>
      <c r="J198" s="27"/>
      <c r="L198" s="28"/>
    </row>
    <row r="199" spans="1:28" x14ac:dyDescent="0.2">
      <c r="E199" s="26"/>
      <c r="I199" s="5"/>
      <c r="J199" s="27"/>
      <c r="L199" s="28"/>
    </row>
    <row r="200" spans="1:28" x14ac:dyDescent="0.2">
      <c r="E200" s="26"/>
      <c r="I200" s="5"/>
      <c r="J200" s="27"/>
      <c r="L200" s="28"/>
    </row>
    <row r="201" spans="1:28" x14ac:dyDescent="0.2">
      <c r="E201" s="26"/>
      <c r="I201" s="5"/>
      <c r="J201" s="27"/>
      <c r="L201" s="28"/>
    </row>
    <row r="202" spans="1:28" x14ac:dyDescent="0.2">
      <c r="E202" s="26"/>
      <c r="I202" s="5"/>
      <c r="J202" s="27"/>
      <c r="L202" s="28"/>
    </row>
    <row r="203" spans="1:28" x14ac:dyDescent="0.2">
      <c r="E203" s="26"/>
      <c r="I203" s="5"/>
      <c r="J203" s="27"/>
      <c r="L203" s="28"/>
    </row>
    <row r="204" spans="1:28" x14ac:dyDescent="0.2">
      <c r="E204" s="26"/>
      <c r="I204" s="5"/>
      <c r="J204" s="27"/>
      <c r="K204" s="27"/>
      <c r="L204" s="25"/>
    </row>
    <row r="205" spans="1:28" x14ac:dyDescent="0.2">
      <c r="E205" s="26"/>
      <c r="I205" s="5"/>
      <c r="J205" s="27"/>
      <c r="L205" s="28"/>
    </row>
    <row r="206" spans="1:28" x14ac:dyDescent="0.2">
      <c r="E206" s="26"/>
      <c r="I206" s="5"/>
      <c r="J206" s="27"/>
      <c r="L206" s="28"/>
    </row>
    <row r="207" spans="1:28" x14ac:dyDescent="0.2">
      <c r="E207" s="26"/>
      <c r="I207" s="5"/>
      <c r="J207" s="27"/>
      <c r="L207" s="28"/>
    </row>
    <row r="208" spans="1:28" x14ac:dyDescent="0.2">
      <c r="E208" s="26"/>
      <c r="I208" s="5"/>
      <c r="J208" s="27"/>
      <c r="L208" s="28"/>
    </row>
    <row r="209" spans="5:12" x14ac:dyDescent="0.2">
      <c r="E209" s="26"/>
      <c r="I209" s="5"/>
      <c r="J209" s="27"/>
      <c r="L209" s="28"/>
    </row>
    <row r="210" spans="5:12" x14ac:dyDescent="0.2">
      <c r="E210" s="26"/>
      <c r="I210" s="5"/>
      <c r="J210" s="27"/>
      <c r="L210" s="28"/>
    </row>
    <row r="211" spans="5:12" x14ac:dyDescent="0.2">
      <c r="I211" s="5"/>
      <c r="J211" s="27"/>
      <c r="K211" s="27"/>
      <c r="L211" s="25"/>
    </row>
    <row r="213" spans="5:12" x14ac:dyDescent="0.2">
      <c r="E213" s="26"/>
    </row>
    <row r="214" spans="5:12" x14ac:dyDescent="0.2">
      <c r="E214" s="26"/>
    </row>
    <row r="215" spans="5:12" x14ac:dyDescent="0.2">
      <c r="E215" s="26"/>
    </row>
    <row r="216" spans="5:12" x14ac:dyDescent="0.2">
      <c r="E216" s="26"/>
    </row>
    <row r="217" spans="5:12" x14ac:dyDescent="0.2">
      <c r="E217" s="26"/>
    </row>
    <row r="218" spans="5:12" x14ac:dyDescent="0.2">
      <c r="E218" s="26"/>
    </row>
    <row r="219" spans="5:12" x14ac:dyDescent="0.2">
      <c r="E219" s="26"/>
    </row>
    <row r="220" spans="5:12" x14ac:dyDescent="0.2">
      <c r="E220" s="26"/>
    </row>
    <row r="221" spans="5:12" x14ac:dyDescent="0.2">
      <c r="E221" s="26"/>
    </row>
    <row r="222" spans="5:12" x14ac:dyDescent="0.2">
      <c r="E222" s="26"/>
    </row>
    <row r="223" spans="5:12" x14ac:dyDescent="0.2">
      <c r="E223" s="26"/>
    </row>
    <row r="224" spans="5:12" x14ac:dyDescent="0.2">
      <c r="E224" s="26"/>
    </row>
    <row r="225" spans="5:5" x14ac:dyDescent="0.2">
      <c r="E225" s="26"/>
    </row>
    <row r="226" spans="5:5" x14ac:dyDescent="0.2">
      <c r="E226" s="26"/>
    </row>
    <row r="227" spans="5:5" x14ac:dyDescent="0.2">
      <c r="E227" s="26"/>
    </row>
    <row r="228" spans="5:5" x14ac:dyDescent="0.2">
      <c r="E228" s="26"/>
    </row>
    <row r="229" spans="5:5" x14ac:dyDescent="0.2">
      <c r="E229" s="26"/>
    </row>
    <row r="230" spans="5:5" x14ac:dyDescent="0.2">
      <c r="E230" s="26"/>
    </row>
    <row r="231" spans="5:5" x14ac:dyDescent="0.2">
      <c r="E231" s="26"/>
    </row>
    <row r="232" spans="5:5" x14ac:dyDescent="0.2">
      <c r="E232" s="26"/>
    </row>
    <row r="233" spans="5:5" x14ac:dyDescent="0.2">
      <c r="E233" s="26"/>
    </row>
    <row r="234" spans="5:5" x14ac:dyDescent="0.2">
      <c r="E234" s="26"/>
    </row>
    <row r="235" spans="5:5" x14ac:dyDescent="0.2">
      <c r="E235" s="26"/>
    </row>
    <row r="236" spans="5:5" x14ac:dyDescent="0.2">
      <c r="E236" s="26"/>
    </row>
    <row r="237" spans="5:5" x14ac:dyDescent="0.2">
      <c r="E237" s="26"/>
    </row>
    <row r="238" spans="5:5" x14ac:dyDescent="0.2">
      <c r="E238" s="26"/>
    </row>
    <row r="239" spans="5:5" x14ac:dyDescent="0.2">
      <c r="E239" s="26"/>
    </row>
    <row r="240" spans="5:5" x14ac:dyDescent="0.2">
      <c r="E240" s="26"/>
    </row>
    <row r="241" spans="5:5" x14ac:dyDescent="0.2">
      <c r="E241" s="26"/>
    </row>
    <row r="242" spans="5:5" x14ac:dyDescent="0.2">
      <c r="E242" s="26"/>
    </row>
    <row r="243" spans="5:5" x14ac:dyDescent="0.2">
      <c r="E243" s="26"/>
    </row>
    <row r="244" spans="5:5" x14ac:dyDescent="0.2">
      <c r="E244" s="26"/>
    </row>
    <row r="245" spans="5:5" x14ac:dyDescent="0.2">
      <c r="E245" s="26"/>
    </row>
    <row r="246" spans="5:5" x14ac:dyDescent="0.2">
      <c r="E246" s="26"/>
    </row>
    <row r="247" spans="5:5" x14ac:dyDescent="0.2">
      <c r="E247" s="26"/>
    </row>
    <row r="248" spans="5:5" x14ac:dyDescent="0.2">
      <c r="E248" s="26"/>
    </row>
    <row r="249" spans="5:5" x14ac:dyDescent="0.2">
      <c r="E249" s="26"/>
    </row>
    <row r="250" spans="5:5" x14ac:dyDescent="0.2">
      <c r="E250" s="26"/>
    </row>
    <row r="251" spans="5:5" x14ac:dyDescent="0.2">
      <c r="E251" s="26"/>
    </row>
    <row r="252" spans="5:5" x14ac:dyDescent="0.2">
      <c r="E252" s="26"/>
    </row>
    <row r="253" spans="5:5" x14ac:dyDescent="0.2">
      <c r="E253" s="26"/>
    </row>
    <row r="254" spans="5:5" x14ac:dyDescent="0.2">
      <c r="E254" s="26"/>
    </row>
    <row r="255" spans="5:5" x14ac:dyDescent="0.2">
      <c r="E255" s="26"/>
    </row>
    <row r="256" spans="5:5" x14ac:dyDescent="0.2">
      <c r="E256" s="26"/>
    </row>
    <row r="257" spans="5:5" x14ac:dyDescent="0.2">
      <c r="E257" s="26"/>
    </row>
    <row r="258" spans="5:5" x14ac:dyDescent="0.2">
      <c r="E258" s="26"/>
    </row>
    <row r="259" spans="5:5" x14ac:dyDescent="0.2">
      <c r="E259" s="26"/>
    </row>
    <row r="260" spans="5:5" x14ac:dyDescent="0.2">
      <c r="E260" s="26"/>
    </row>
    <row r="261" spans="5:5" x14ac:dyDescent="0.2">
      <c r="E261" s="26"/>
    </row>
    <row r="262" spans="5:5" x14ac:dyDescent="0.2">
      <c r="E262" s="26"/>
    </row>
    <row r="263" spans="5:5" x14ac:dyDescent="0.2">
      <c r="E263" s="26"/>
    </row>
    <row r="264" spans="5:5" x14ac:dyDescent="0.2">
      <c r="E264" s="26"/>
    </row>
    <row r="265" spans="5:5" x14ac:dyDescent="0.2">
      <c r="E265" s="26"/>
    </row>
    <row r="266" spans="5:5" x14ac:dyDescent="0.2">
      <c r="E266" s="26"/>
    </row>
    <row r="267" spans="5:5" x14ac:dyDescent="0.2">
      <c r="E267" s="26"/>
    </row>
    <row r="268" spans="5:5" x14ac:dyDescent="0.2">
      <c r="E268" s="26"/>
    </row>
    <row r="269" spans="5:5" x14ac:dyDescent="0.2">
      <c r="E269" s="26"/>
    </row>
    <row r="270" spans="5:5" x14ac:dyDescent="0.2">
      <c r="E270" s="26"/>
    </row>
    <row r="271" spans="5:5" x14ac:dyDescent="0.2">
      <c r="E271" s="26"/>
    </row>
    <row r="272" spans="5:5" x14ac:dyDescent="0.2">
      <c r="E272" s="26"/>
    </row>
    <row r="273" spans="5:5" x14ac:dyDescent="0.2">
      <c r="E273" s="26"/>
    </row>
    <row r="274" spans="5:5" x14ac:dyDescent="0.2">
      <c r="E274" s="26"/>
    </row>
    <row r="275" spans="5:5" x14ac:dyDescent="0.2">
      <c r="E275" s="26"/>
    </row>
    <row r="276" spans="5:5" x14ac:dyDescent="0.2">
      <c r="E276" s="26"/>
    </row>
    <row r="277" spans="5:5" x14ac:dyDescent="0.2">
      <c r="E277" s="26"/>
    </row>
    <row r="278" spans="5:5" x14ac:dyDescent="0.2">
      <c r="E278" s="26"/>
    </row>
    <row r="279" spans="5:5" x14ac:dyDescent="0.2">
      <c r="E279" s="26"/>
    </row>
    <row r="280" spans="5:5" x14ac:dyDescent="0.2">
      <c r="E280" s="26"/>
    </row>
    <row r="281" spans="5:5" x14ac:dyDescent="0.2">
      <c r="E281" s="26"/>
    </row>
    <row r="282" spans="5:5" x14ac:dyDescent="0.2">
      <c r="E282" s="26"/>
    </row>
    <row r="283" spans="5:5" x14ac:dyDescent="0.2">
      <c r="E283" s="26"/>
    </row>
    <row r="284" spans="5:5" x14ac:dyDescent="0.2">
      <c r="E284" s="26"/>
    </row>
    <row r="285" spans="5:5" x14ac:dyDescent="0.2">
      <c r="E285" s="26"/>
    </row>
    <row r="286" spans="5:5" x14ac:dyDescent="0.2">
      <c r="E286" s="26"/>
    </row>
    <row r="287" spans="5:5" x14ac:dyDescent="0.2">
      <c r="E287" s="26"/>
    </row>
    <row r="288" spans="5:5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</sheetData>
  <mergeCells count="4">
    <mergeCell ref="T118:W118"/>
    <mergeCell ref="Y118:AB118"/>
    <mergeCell ref="T119:W119"/>
    <mergeCell ref="Y119:AB119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M3069"/>
  <sheetViews>
    <sheetView topLeftCell="A250" workbookViewId="0">
      <selection activeCell="A296" sqref="A296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SUM(C4:C234)</f>
        <v>35386.101725000044</v>
      </c>
      <c r="D1" s="3">
        <f>SUM(D4:D234)</f>
        <v>1563.6517249999995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s="8" customFormat="1" x14ac:dyDescent="0.2">
      <c r="A3" s="10">
        <v>14649</v>
      </c>
      <c r="B3" s="11">
        <v>41913</v>
      </c>
      <c r="C3" s="12">
        <v>18</v>
      </c>
      <c r="D3" s="12"/>
      <c r="E3" s="13" t="s">
        <v>71</v>
      </c>
      <c r="F3" s="12"/>
      <c r="G3" s="12"/>
      <c r="H3" s="9"/>
    </row>
    <row r="4" spans="1:10" x14ac:dyDescent="0.2">
      <c r="A4" s="10">
        <v>14650</v>
      </c>
      <c r="B4" s="11">
        <v>41913</v>
      </c>
      <c r="C4" s="12">
        <v>4178</v>
      </c>
      <c r="D4" s="12"/>
      <c r="E4" s="15" t="s">
        <v>72</v>
      </c>
      <c r="H4" s="10"/>
    </row>
    <row r="5" spans="1:10" x14ac:dyDescent="0.2">
      <c r="A5" s="10">
        <v>14651</v>
      </c>
      <c r="B5" s="11">
        <v>41913</v>
      </c>
      <c r="C5" s="12">
        <v>4214</v>
      </c>
      <c r="D5" s="12"/>
      <c r="E5" s="15" t="s">
        <v>72</v>
      </c>
      <c r="F5" s="21"/>
      <c r="G5" s="22"/>
      <c r="H5" s="12"/>
    </row>
    <row r="6" spans="1:10" x14ac:dyDescent="0.2">
      <c r="A6" s="10">
        <v>14652</v>
      </c>
      <c r="B6" s="11">
        <v>41913</v>
      </c>
      <c r="C6" s="12">
        <v>3011</v>
      </c>
      <c r="D6" s="12"/>
      <c r="E6" s="15" t="s">
        <v>72</v>
      </c>
      <c r="H6" s="12"/>
    </row>
    <row r="7" spans="1:10" x14ac:dyDescent="0.2">
      <c r="A7" s="10">
        <v>14653</v>
      </c>
      <c r="B7" s="11">
        <v>41913</v>
      </c>
      <c r="C7" s="12">
        <v>1064</v>
      </c>
      <c r="D7" s="12"/>
      <c r="E7" s="15" t="s">
        <v>72</v>
      </c>
      <c r="H7" s="10"/>
    </row>
    <row r="8" spans="1:10" x14ac:dyDescent="0.2">
      <c r="A8" s="10">
        <v>14654</v>
      </c>
      <c r="B8" s="11">
        <v>41913</v>
      </c>
      <c r="C8" s="2">
        <v>156</v>
      </c>
      <c r="D8" s="4">
        <v>11.83</v>
      </c>
      <c r="E8" s="41" t="s">
        <v>11</v>
      </c>
      <c r="H8" s="10"/>
    </row>
    <row r="9" spans="1:10" x14ac:dyDescent="0.2">
      <c r="A9" s="10">
        <v>14655</v>
      </c>
      <c r="B9" s="11">
        <v>41913</v>
      </c>
      <c r="C9" s="25">
        <v>15</v>
      </c>
      <c r="D9" s="4">
        <v>1.1399999999999999</v>
      </c>
      <c r="E9" s="26" t="s">
        <v>11</v>
      </c>
      <c r="H9" s="12"/>
    </row>
    <row r="10" spans="1:10" x14ac:dyDescent="0.2">
      <c r="A10" s="10">
        <v>14656</v>
      </c>
      <c r="B10" s="11">
        <v>41913</v>
      </c>
      <c r="C10" s="25">
        <v>38.700000000000003</v>
      </c>
      <c r="D10" s="4">
        <v>2.95</v>
      </c>
      <c r="E10" s="26"/>
      <c r="H10" s="12"/>
    </row>
    <row r="11" spans="1:10" x14ac:dyDescent="0.2">
      <c r="A11" s="10">
        <v>14657</v>
      </c>
      <c r="B11" s="11">
        <v>41913</v>
      </c>
      <c r="C11" s="25">
        <v>32.479999999999997</v>
      </c>
      <c r="D11" s="4">
        <v>2.48</v>
      </c>
      <c r="E11" s="26"/>
      <c r="H11" s="10"/>
    </row>
    <row r="12" spans="1:10" x14ac:dyDescent="0.2">
      <c r="A12" s="10">
        <v>14658</v>
      </c>
      <c r="B12" s="11">
        <v>41913</v>
      </c>
      <c r="C12" s="25">
        <v>3.79</v>
      </c>
      <c r="D12" s="4">
        <v>0.28999999999999998</v>
      </c>
      <c r="E12" s="26"/>
      <c r="H12" s="12"/>
    </row>
    <row r="13" spans="1:10" x14ac:dyDescent="0.2">
      <c r="A13" s="10">
        <v>14659</v>
      </c>
      <c r="B13" s="11">
        <v>41913</v>
      </c>
      <c r="C13" s="25">
        <v>15</v>
      </c>
      <c r="D13" s="4">
        <v>1.1399999999999999</v>
      </c>
      <c r="E13" s="26"/>
      <c r="H13" s="12"/>
    </row>
    <row r="14" spans="1:10" x14ac:dyDescent="0.2">
      <c r="A14" s="10">
        <v>14660</v>
      </c>
      <c r="B14" s="11">
        <v>41913</v>
      </c>
      <c r="C14" s="25">
        <v>10</v>
      </c>
      <c r="D14" s="4">
        <v>0.76</v>
      </c>
      <c r="E14" s="26"/>
      <c r="H14" s="12"/>
    </row>
    <row r="15" spans="1:10" x14ac:dyDescent="0.2">
      <c r="A15" s="10">
        <v>14661</v>
      </c>
      <c r="B15" s="11">
        <v>41913</v>
      </c>
      <c r="C15" s="25">
        <v>74.69</v>
      </c>
      <c r="D15" s="4">
        <v>5.69</v>
      </c>
      <c r="E15" s="26"/>
      <c r="H15" s="12"/>
    </row>
    <row r="16" spans="1:10" x14ac:dyDescent="0.2">
      <c r="A16" s="10">
        <v>14662</v>
      </c>
      <c r="B16" s="11">
        <v>41913</v>
      </c>
      <c r="C16" s="25">
        <v>27</v>
      </c>
      <c r="D16" s="4">
        <v>2.06</v>
      </c>
      <c r="E16" s="26"/>
      <c r="H16" s="12"/>
    </row>
    <row r="17" spans="1:9" x14ac:dyDescent="0.2">
      <c r="A17" s="10">
        <v>14663</v>
      </c>
      <c r="B17" s="11">
        <v>41913</v>
      </c>
      <c r="C17" s="25">
        <v>19.489999999999998</v>
      </c>
      <c r="D17" s="4">
        <v>1.49</v>
      </c>
      <c r="E17" s="26"/>
      <c r="H17" s="12"/>
    </row>
    <row r="18" spans="1:9" x14ac:dyDescent="0.2">
      <c r="A18" s="10">
        <v>14664</v>
      </c>
      <c r="B18" s="11">
        <v>41913</v>
      </c>
      <c r="C18" s="25">
        <v>102.84</v>
      </c>
      <c r="D18" s="4">
        <v>7.84</v>
      </c>
      <c r="E18" s="26"/>
    </row>
    <row r="19" spans="1:9" x14ac:dyDescent="0.2">
      <c r="A19" s="10">
        <v>14665</v>
      </c>
      <c r="B19" s="11">
        <v>41913</v>
      </c>
      <c r="C19" s="25">
        <v>248.98</v>
      </c>
      <c r="D19" s="4">
        <v>18.98</v>
      </c>
      <c r="E19" s="26" t="s">
        <v>11</v>
      </c>
    </row>
    <row r="20" spans="1:9" x14ac:dyDescent="0.2">
      <c r="A20" s="10">
        <v>14666</v>
      </c>
      <c r="B20" s="11">
        <v>41913</v>
      </c>
      <c r="C20" s="25">
        <v>177.53</v>
      </c>
      <c r="D20" s="4">
        <v>13.53</v>
      </c>
      <c r="E20" s="26" t="s">
        <v>73</v>
      </c>
    </row>
    <row r="21" spans="1:9" x14ac:dyDescent="0.2">
      <c r="A21" s="10">
        <v>14667</v>
      </c>
      <c r="B21" s="11">
        <v>41913</v>
      </c>
      <c r="C21" s="25">
        <v>164.54</v>
      </c>
      <c r="D21" s="4">
        <v>12.54</v>
      </c>
      <c r="E21" s="26" t="s">
        <v>74</v>
      </c>
    </row>
    <row r="22" spans="1:9" x14ac:dyDescent="0.2">
      <c r="A22" s="10">
        <v>14668</v>
      </c>
      <c r="B22" s="11">
        <v>41913</v>
      </c>
      <c r="C22" s="25">
        <v>108.25</v>
      </c>
      <c r="D22" s="4">
        <v>8.25</v>
      </c>
      <c r="E22" s="26" t="s">
        <v>75</v>
      </c>
    </row>
    <row r="23" spans="1:9" x14ac:dyDescent="0.2">
      <c r="A23" s="10">
        <v>14669</v>
      </c>
      <c r="B23" s="11">
        <v>41913</v>
      </c>
      <c r="C23" s="25">
        <v>20</v>
      </c>
      <c r="D23" s="4">
        <v>1.52</v>
      </c>
      <c r="E23" s="26"/>
    </row>
    <row r="24" spans="1:9" x14ac:dyDescent="0.2">
      <c r="A24" s="10">
        <v>14670</v>
      </c>
      <c r="B24" s="11">
        <v>41913</v>
      </c>
      <c r="C24" s="12">
        <v>83.35</v>
      </c>
      <c r="D24" s="12">
        <v>6.35</v>
      </c>
      <c r="E24" s="17"/>
      <c r="H24" s="10"/>
      <c r="I24" s="10"/>
    </row>
    <row r="25" spans="1:9" x14ac:dyDescent="0.2">
      <c r="A25" s="10">
        <v>14671</v>
      </c>
      <c r="B25" s="11">
        <v>41913</v>
      </c>
      <c r="C25" s="12">
        <v>193.01</v>
      </c>
      <c r="D25" s="12">
        <v>39.39</v>
      </c>
      <c r="E25" s="17"/>
      <c r="F25" s="33">
        <f>+C8+C9+C19+124.54+122.33</f>
        <v>666.85</v>
      </c>
      <c r="G25" s="34">
        <v>657.73</v>
      </c>
      <c r="H25" s="10"/>
      <c r="I25" s="10"/>
    </row>
    <row r="26" spans="1:9" x14ac:dyDescent="0.2">
      <c r="A26" s="10">
        <v>14672</v>
      </c>
      <c r="B26" s="11">
        <v>41914</v>
      </c>
      <c r="C26" s="12">
        <v>146.13999999999999</v>
      </c>
      <c r="D26" s="12">
        <v>11.14</v>
      </c>
      <c r="E26" s="15" t="s">
        <v>13</v>
      </c>
      <c r="H26" s="12"/>
      <c r="I26" s="10"/>
    </row>
    <row r="27" spans="1:9" x14ac:dyDescent="0.2">
      <c r="A27" s="10">
        <v>14673</v>
      </c>
      <c r="B27" s="11">
        <v>41914</v>
      </c>
      <c r="C27" s="12">
        <v>41.03</v>
      </c>
      <c r="D27" s="12">
        <v>3.13</v>
      </c>
      <c r="E27" s="15" t="s">
        <v>11</v>
      </c>
      <c r="H27" s="12"/>
      <c r="I27" s="10"/>
    </row>
    <row r="28" spans="1:9" x14ac:dyDescent="0.2">
      <c r="A28" s="10">
        <v>14674</v>
      </c>
      <c r="B28" s="11">
        <v>41914</v>
      </c>
      <c r="C28" s="12">
        <v>17.27</v>
      </c>
      <c r="D28" s="12">
        <v>1.32</v>
      </c>
      <c r="E28" s="15" t="s">
        <v>13</v>
      </c>
      <c r="H28" s="10"/>
      <c r="I28" s="10"/>
    </row>
    <row r="29" spans="1:9" x14ac:dyDescent="0.2">
      <c r="A29" s="10">
        <v>14675</v>
      </c>
      <c r="B29" s="11">
        <v>41914</v>
      </c>
      <c r="C29" s="12">
        <v>18</v>
      </c>
      <c r="D29" s="12">
        <v>1.38</v>
      </c>
      <c r="E29" s="15" t="s">
        <v>11</v>
      </c>
      <c r="H29" s="10"/>
      <c r="I29" s="10"/>
    </row>
    <row r="30" spans="1:9" x14ac:dyDescent="0.2">
      <c r="A30" s="10">
        <v>14676</v>
      </c>
      <c r="B30" s="11">
        <v>41914</v>
      </c>
      <c r="C30" s="12">
        <v>56.29</v>
      </c>
      <c r="D30" s="12">
        <v>4.29</v>
      </c>
      <c r="E30" s="15" t="s">
        <v>11</v>
      </c>
      <c r="F30" s="21"/>
      <c r="G30" s="22"/>
      <c r="H30" s="10"/>
      <c r="I30" s="10"/>
    </row>
    <row r="31" spans="1:9" x14ac:dyDescent="0.2">
      <c r="A31" s="10">
        <v>14677</v>
      </c>
      <c r="B31" s="11">
        <v>41914</v>
      </c>
      <c r="C31" s="12">
        <v>93.1</v>
      </c>
      <c r="D31" s="12">
        <v>7.1</v>
      </c>
      <c r="E31" s="15" t="s">
        <v>11</v>
      </c>
      <c r="H31" s="10"/>
      <c r="I31" s="10"/>
    </row>
    <row r="32" spans="1:9" x14ac:dyDescent="0.2">
      <c r="A32" s="10">
        <v>14678</v>
      </c>
      <c r="B32" s="11">
        <v>41914</v>
      </c>
      <c r="C32" s="12">
        <v>39.78</v>
      </c>
      <c r="D32" s="12">
        <v>3.03</v>
      </c>
      <c r="E32" s="17"/>
      <c r="F32" s="18"/>
      <c r="G32" s="19"/>
      <c r="H32" s="12"/>
      <c r="I32" s="10"/>
    </row>
    <row r="33" spans="1:9" x14ac:dyDescent="0.2">
      <c r="A33" s="10">
        <v>14679</v>
      </c>
      <c r="B33" s="11">
        <v>41914</v>
      </c>
      <c r="C33" s="12">
        <v>22.73</v>
      </c>
      <c r="D33" s="12">
        <v>1.73</v>
      </c>
      <c r="E33" s="15" t="s">
        <v>23</v>
      </c>
      <c r="F33" s="21"/>
      <c r="G33" s="22"/>
      <c r="H33" s="10"/>
      <c r="I33" s="10"/>
    </row>
    <row r="34" spans="1:9" x14ac:dyDescent="0.2">
      <c r="A34" s="10">
        <v>14680</v>
      </c>
      <c r="B34" s="11">
        <v>41914</v>
      </c>
      <c r="C34" s="12">
        <v>8.61</v>
      </c>
      <c r="D34" s="12">
        <v>0.66</v>
      </c>
      <c r="E34" s="17"/>
      <c r="H34" s="12"/>
      <c r="I34" s="10"/>
    </row>
    <row r="35" spans="1:9" x14ac:dyDescent="0.2">
      <c r="A35" s="10">
        <v>14681</v>
      </c>
      <c r="B35" s="11">
        <v>41914</v>
      </c>
      <c r="C35" s="12">
        <v>28.04</v>
      </c>
      <c r="D35" s="12">
        <v>2.14</v>
      </c>
      <c r="E35" s="17"/>
      <c r="F35" s="18"/>
      <c r="G35" s="19"/>
      <c r="H35" s="12"/>
      <c r="I35" s="10"/>
    </row>
    <row r="36" spans="1:9" x14ac:dyDescent="0.2">
      <c r="A36" s="10">
        <v>14682</v>
      </c>
      <c r="B36" s="11">
        <v>41914</v>
      </c>
      <c r="C36" s="12">
        <v>15.1</v>
      </c>
      <c r="D36" s="12">
        <v>1.1499999999999999</v>
      </c>
      <c r="E36" s="15" t="s">
        <v>11</v>
      </c>
      <c r="H36" s="10"/>
      <c r="I36" s="10"/>
    </row>
    <row r="37" spans="1:9" x14ac:dyDescent="0.2">
      <c r="A37" s="10">
        <v>14683</v>
      </c>
      <c r="B37" s="11">
        <v>41914</v>
      </c>
      <c r="C37" s="12">
        <v>205.68</v>
      </c>
      <c r="D37" s="12">
        <v>15.68</v>
      </c>
      <c r="E37" s="17"/>
      <c r="F37" s="33">
        <f>+C26+C27+C28+C29+C30+C31+C33+C36+92.15</f>
        <v>501.81000000000006</v>
      </c>
      <c r="G37" s="34">
        <v>494.21</v>
      </c>
      <c r="H37" s="12"/>
      <c r="I37" s="10"/>
    </row>
    <row r="38" spans="1:9" x14ac:dyDescent="0.2">
      <c r="A38" s="10">
        <v>14684</v>
      </c>
      <c r="B38" s="11">
        <v>41915</v>
      </c>
      <c r="C38" s="12">
        <v>347.48</v>
      </c>
      <c r="D38" s="12">
        <v>26.48</v>
      </c>
      <c r="E38" s="15" t="s">
        <v>11</v>
      </c>
      <c r="H38" s="10"/>
      <c r="I38" s="10"/>
    </row>
    <row r="39" spans="1:9" x14ac:dyDescent="0.2">
      <c r="A39" s="10">
        <v>14685</v>
      </c>
      <c r="B39" s="11">
        <v>41915</v>
      </c>
      <c r="C39" s="12">
        <v>182.99662499999999</v>
      </c>
      <c r="D39" s="12">
        <v>13.946624999999999</v>
      </c>
      <c r="E39" s="17"/>
      <c r="F39" s="18"/>
      <c r="G39" s="19"/>
      <c r="H39" s="12"/>
      <c r="I39" s="10"/>
    </row>
    <row r="40" spans="1:9" x14ac:dyDescent="0.2">
      <c r="A40" s="10">
        <v>14686</v>
      </c>
      <c r="B40" s="11">
        <v>41915</v>
      </c>
      <c r="C40" s="12">
        <v>70.36</v>
      </c>
      <c r="D40" s="12">
        <v>5.36</v>
      </c>
      <c r="E40" s="13" t="s">
        <v>76</v>
      </c>
      <c r="H40" s="12"/>
      <c r="I40" s="10"/>
    </row>
    <row r="41" spans="1:9" x14ac:dyDescent="0.2">
      <c r="A41" s="10">
        <v>14687</v>
      </c>
      <c r="B41" s="11">
        <v>41915</v>
      </c>
      <c r="C41" s="12">
        <v>109</v>
      </c>
      <c r="D41" s="12"/>
      <c r="E41" s="13" t="s">
        <v>77</v>
      </c>
      <c r="H41" s="12"/>
      <c r="I41" s="10"/>
    </row>
    <row r="42" spans="1:9" x14ac:dyDescent="0.2">
      <c r="A42" s="10">
        <v>14688</v>
      </c>
      <c r="B42" s="11">
        <v>41915</v>
      </c>
      <c r="C42" s="12">
        <v>86</v>
      </c>
      <c r="D42" s="12"/>
      <c r="E42" s="13" t="s">
        <v>77</v>
      </c>
      <c r="F42" s="18"/>
      <c r="G42" s="19"/>
      <c r="H42" s="12"/>
      <c r="I42" s="10"/>
    </row>
    <row r="43" spans="1:9" x14ac:dyDescent="0.2">
      <c r="A43" s="10">
        <v>14689</v>
      </c>
      <c r="B43" s="11">
        <v>41915</v>
      </c>
      <c r="C43" s="12">
        <v>15.003449999999999</v>
      </c>
      <c r="D43" s="12">
        <v>1.1434500000000001</v>
      </c>
      <c r="E43" s="17"/>
      <c r="F43" s="18"/>
      <c r="G43" s="19"/>
      <c r="H43" s="12"/>
      <c r="I43" s="10"/>
    </row>
    <row r="44" spans="1:9" x14ac:dyDescent="0.2">
      <c r="A44" s="10">
        <v>14690</v>
      </c>
      <c r="B44" s="11">
        <v>41915</v>
      </c>
      <c r="C44" s="12">
        <v>283.07</v>
      </c>
      <c r="D44" s="12">
        <v>21.57</v>
      </c>
      <c r="E44" s="17"/>
      <c r="F44" s="18"/>
      <c r="G44" s="19"/>
      <c r="H44" s="12"/>
      <c r="I44" s="10"/>
    </row>
    <row r="45" spans="1:9" x14ac:dyDescent="0.2">
      <c r="A45" s="10">
        <v>14691</v>
      </c>
      <c r="B45" s="11">
        <v>41915</v>
      </c>
      <c r="C45" s="12">
        <v>-15.16</v>
      </c>
      <c r="D45" s="12">
        <v>-1.1599999999999999</v>
      </c>
      <c r="E45" s="15" t="s">
        <v>78</v>
      </c>
      <c r="F45" s="21"/>
      <c r="G45" s="22"/>
      <c r="H45" s="10"/>
      <c r="I45" s="10"/>
    </row>
    <row r="46" spans="1:9" x14ac:dyDescent="0.2">
      <c r="A46" s="10">
        <v>14692</v>
      </c>
      <c r="B46" s="11">
        <v>41915</v>
      </c>
      <c r="C46" s="12">
        <v>29.23</v>
      </c>
      <c r="D46" s="12">
        <v>2.23</v>
      </c>
      <c r="E46" s="13"/>
      <c r="F46" s="18"/>
      <c r="G46" s="19"/>
      <c r="H46" s="12"/>
      <c r="I46" s="10"/>
    </row>
    <row r="47" spans="1:9" x14ac:dyDescent="0.2">
      <c r="A47" s="10">
        <v>14693</v>
      </c>
      <c r="B47" s="11">
        <v>41915</v>
      </c>
      <c r="C47" s="12">
        <v>20.46</v>
      </c>
      <c r="D47" s="12">
        <v>1.56</v>
      </c>
      <c r="E47" s="15" t="s">
        <v>11</v>
      </c>
      <c r="H47" s="10"/>
      <c r="I47" s="10"/>
    </row>
    <row r="48" spans="1:9" x14ac:dyDescent="0.2">
      <c r="A48" s="10">
        <v>14694</v>
      </c>
      <c r="B48" s="11">
        <v>41915</v>
      </c>
      <c r="C48" s="12">
        <v>8.66</v>
      </c>
      <c r="D48" s="12">
        <v>0.66</v>
      </c>
      <c r="E48" s="17"/>
      <c r="F48" s="18"/>
      <c r="G48" s="19"/>
      <c r="H48" s="12"/>
      <c r="I48" s="10"/>
    </row>
    <row r="49" spans="1:13" x14ac:dyDescent="0.2">
      <c r="A49" s="10">
        <v>14695</v>
      </c>
      <c r="B49" s="11">
        <v>41915</v>
      </c>
      <c r="C49" s="12">
        <v>3</v>
      </c>
      <c r="D49" s="12"/>
      <c r="E49" s="15" t="s">
        <v>79</v>
      </c>
      <c r="F49" s="33">
        <f>+C38+C47+C49</f>
        <v>370.94</v>
      </c>
      <c r="G49" s="34">
        <v>363.28</v>
      </c>
      <c r="H49" s="10"/>
      <c r="I49" s="10"/>
    </row>
    <row r="50" spans="1:13" x14ac:dyDescent="0.2">
      <c r="A50" s="10">
        <v>14696</v>
      </c>
      <c r="B50" s="11">
        <v>41916</v>
      </c>
      <c r="C50" s="12">
        <v>10.81</v>
      </c>
      <c r="D50" s="12">
        <v>0.82</v>
      </c>
      <c r="E50" s="15" t="s">
        <v>11</v>
      </c>
      <c r="F50" s="21"/>
      <c r="G50" s="22"/>
      <c r="H50" s="10"/>
      <c r="I50" s="10"/>
    </row>
    <row r="51" spans="1:13" x14ac:dyDescent="0.2">
      <c r="A51" s="10">
        <v>14697</v>
      </c>
      <c r="B51" s="11">
        <v>41916</v>
      </c>
      <c r="C51" s="12">
        <v>216.45</v>
      </c>
      <c r="D51" s="12">
        <v>16.5</v>
      </c>
      <c r="E51" s="15" t="s">
        <v>11</v>
      </c>
      <c r="H51" s="10"/>
      <c r="I51" s="10"/>
    </row>
    <row r="52" spans="1:13" x14ac:dyDescent="0.2">
      <c r="A52" s="10">
        <v>14698</v>
      </c>
      <c r="B52" s="11">
        <v>41916</v>
      </c>
      <c r="C52" s="12">
        <v>130</v>
      </c>
      <c r="D52" s="12"/>
      <c r="E52" s="17"/>
      <c r="F52" s="18"/>
      <c r="G52" s="19"/>
      <c r="H52" s="12"/>
      <c r="I52" s="10"/>
    </row>
    <row r="53" spans="1:13" x14ac:dyDescent="0.2">
      <c r="A53" s="10">
        <v>14699</v>
      </c>
      <c r="B53" s="11">
        <v>41916</v>
      </c>
      <c r="C53" s="12">
        <v>16.239999999999998</v>
      </c>
      <c r="D53" s="12">
        <v>1.24</v>
      </c>
      <c r="E53" s="17"/>
      <c r="H53" s="12"/>
      <c r="I53" s="10"/>
    </row>
    <row r="54" spans="1:13" x14ac:dyDescent="0.2">
      <c r="A54" s="10">
        <v>14700</v>
      </c>
      <c r="B54" s="11">
        <v>41916</v>
      </c>
      <c r="C54" s="12">
        <v>212.6</v>
      </c>
      <c r="D54" s="12">
        <v>16.2</v>
      </c>
      <c r="E54" s="15" t="s">
        <v>11</v>
      </c>
      <c r="H54" s="10"/>
      <c r="I54" s="10"/>
    </row>
    <row r="55" spans="1:13" x14ac:dyDescent="0.2">
      <c r="A55" s="10">
        <v>14701</v>
      </c>
      <c r="B55" s="11">
        <v>41916</v>
      </c>
      <c r="C55" s="12">
        <v>129.9</v>
      </c>
      <c r="D55" s="12">
        <v>9.9</v>
      </c>
      <c r="E55" s="17"/>
      <c r="H55" s="12"/>
      <c r="I55" s="10"/>
    </row>
    <row r="56" spans="1:13" x14ac:dyDescent="0.2">
      <c r="A56" s="10">
        <v>14702</v>
      </c>
      <c r="B56" s="11">
        <v>41916</v>
      </c>
      <c r="C56" s="12">
        <v>41.14</v>
      </c>
      <c r="D56" s="12">
        <v>3.14</v>
      </c>
      <c r="E56" s="17"/>
      <c r="F56" s="33">
        <f>+C50+C51+C54</f>
        <v>439.86</v>
      </c>
      <c r="G56" s="34">
        <v>435.87</v>
      </c>
      <c r="H56" s="12"/>
      <c r="I56" s="10"/>
    </row>
    <row r="57" spans="1:13" x14ac:dyDescent="0.2">
      <c r="A57" s="10">
        <v>14703</v>
      </c>
      <c r="B57" s="11">
        <v>41918</v>
      </c>
      <c r="C57" s="12">
        <v>25.98</v>
      </c>
      <c r="D57" s="12">
        <v>1.98</v>
      </c>
      <c r="E57" s="15" t="s">
        <v>21</v>
      </c>
      <c r="F57" s="21"/>
      <c r="G57" s="22"/>
    </row>
    <row r="58" spans="1:13" x14ac:dyDescent="0.2">
      <c r="A58" s="10">
        <v>14704</v>
      </c>
      <c r="B58" s="11">
        <v>41918</v>
      </c>
      <c r="C58" s="12">
        <v>11.83</v>
      </c>
      <c r="D58" s="12">
        <v>0.83</v>
      </c>
      <c r="E58" s="17"/>
      <c r="M58" s="25"/>
    </row>
    <row r="59" spans="1:13" x14ac:dyDescent="0.2">
      <c r="A59" s="10">
        <v>14705</v>
      </c>
      <c r="B59" s="11">
        <v>41918</v>
      </c>
      <c r="C59" s="12">
        <v>263.58999999999997</v>
      </c>
      <c r="D59" s="12">
        <v>20.09</v>
      </c>
      <c r="E59" s="15" t="s">
        <v>80</v>
      </c>
      <c r="M59" s="25"/>
    </row>
    <row r="60" spans="1:13" x14ac:dyDescent="0.2">
      <c r="A60" s="10">
        <v>14706</v>
      </c>
      <c r="B60" s="11">
        <v>41918</v>
      </c>
      <c r="C60" s="12">
        <v>517.44000000000005</v>
      </c>
      <c r="D60" s="12">
        <v>39.44</v>
      </c>
      <c r="E60" s="15" t="s">
        <v>81</v>
      </c>
      <c r="F60" s="33">
        <f>120+487.67</f>
        <v>607.67000000000007</v>
      </c>
      <c r="G60" s="34">
        <v>597.96</v>
      </c>
      <c r="M60" s="25"/>
    </row>
    <row r="61" spans="1:13" x14ac:dyDescent="0.2">
      <c r="A61" s="10">
        <v>14707</v>
      </c>
      <c r="B61" s="11">
        <v>41919</v>
      </c>
      <c r="C61" s="12">
        <v>31.18</v>
      </c>
      <c r="D61" s="12">
        <v>2.38</v>
      </c>
      <c r="E61" s="15" t="s">
        <v>11</v>
      </c>
      <c r="F61" s="21"/>
      <c r="G61" s="22"/>
      <c r="M61" s="25"/>
    </row>
    <row r="62" spans="1:13" x14ac:dyDescent="0.2">
      <c r="A62" s="10">
        <v>14708</v>
      </c>
      <c r="B62" s="11">
        <v>41919</v>
      </c>
      <c r="C62" s="12">
        <v>173</v>
      </c>
      <c r="D62" s="12"/>
      <c r="E62" s="15" t="s">
        <v>82</v>
      </c>
      <c r="M62" s="25"/>
    </row>
    <row r="63" spans="1:13" x14ac:dyDescent="0.2">
      <c r="A63" s="10">
        <v>14709</v>
      </c>
      <c r="B63" s="11">
        <v>41919</v>
      </c>
      <c r="C63" s="12">
        <v>86.6</v>
      </c>
      <c r="D63" s="12">
        <v>6.6</v>
      </c>
      <c r="E63" s="17"/>
      <c r="F63" s="18"/>
      <c r="G63" s="19"/>
      <c r="M63" s="42"/>
    </row>
    <row r="64" spans="1:13" x14ac:dyDescent="0.2">
      <c r="A64" s="10">
        <v>14710</v>
      </c>
      <c r="B64" s="11">
        <v>41919</v>
      </c>
      <c r="C64" s="12">
        <v>49</v>
      </c>
      <c r="D64" s="12"/>
      <c r="E64" s="15" t="s">
        <v>83</v>
      </c>
      <c r="M64" s="43"/>
    </row>
    <row r="65" spans="1:13" x14ac:dyDescent="0.2">
      <c r="A65" s="10">
        <v>14711</v>
      </c>
      <c r="B65" s="11">
        <v>41919</v>
      </c>
      <c r="C65" s="12">
        <v>10</v>
      </c>
      <c r="D65" s="12">
        <v>0.76</v>
      </c>
      <c r="E65" s="17"/>
      <c r="F65" s="18"/>
      <c r="G65" s="19"/>
      <c r="M65" s="25"/>
    </row>
    <row r="66" spans="1:13" x14ac:dyDescent="0.2">
      <c r="A66" s="10">
        <v>14712</v>
      </c>
      <c r="B66" s="11">
        <v>41919</v>
      </c>
      <c r="C66" s="12">
        <v>116.91</v>
      </c>
      <c r="D66" s="12">
        <v>8.91</v>
      </c>
      <c r="E66" s="15" t="s">
        <v>11</v>
      </c>
      <c r="M66" s="25"/>
    </row>
    <row r="67" spans="1:13" x14ac:dyDescent="0.2">
      <c r="A67" s="10">
        <v>14713</v>
      </c>
      <c r="B67" s="11">
        <v>41919</v>
      </c>
      <c r="C67" s="12">
        <v>75.78</v>
      </c>
      <c r="D67" s="12">
        <v>5.78</v>
      </c>
      <c r="E67" s="15" t="s">
        <v>11</v>
      </c>
      <c r="F67" s="21"/>
      <c r="G67" s="22"/>
      <c r="M67" s="25"/>
    </row>
    <row r="68" spans="1:13" x14ac:dyDescent="0.2">
      <c r="A68" s="10">
        <v>14714</v>
      </c>
      <c r="B68" s="11">
        <v>41919</v>
      </c>
      <c r="C68" s="12">
        <v>124</v>
      </c>
      <c r="D68" s="12"/>
      <c r="E68" s="15" t="s">
        <v>84</v>
      </c>
      <c r="M68" s="44"/>
    </row>
    <row r="69" spans="1:13" x14ac:dyDescent="0.2">
      <c r="A69" s="10">
        <v>14715</v>
      </c>
      <c r="B69" s="11">
        <v>41919</v>
      </c>
      <c r="C69" s="12">
        <v>257</v>
      </c>
      <c r="D69" s="12">
        <v>19.59</v>
      </c>
      <c r="E69" s="17"/>
      <c r="M69" s="25"/>
    </row>
    <row r="70" spans="1:13" x14ac:dyDescent="0.2">
      <c r="A70" s="10">
        <v>14716</v>
      </c>
      <c r="B70" s="11">
        <v>41919</v>
      </c>
      <c r="C70" s="12">
        <v>456.82</v>
      </c>
      <c r="D70" s="12">
        <v>34.82</v>
      </c>
      <c r="E70" s="15" t="s">
        <v>11</v>
      </c>
      <c r="F70" s="33">
        <f>+C61+C66+C67+C68</f>
        <v>347.87</v>
      </c>
      <c r="G70" s="34">
        <v>344.1</v>
      </c>
      <c r="M70" s="3"/>
    </row>
    <row r="71" spans="1:13" x14ac:dyDescent="0.2">
      <c r="A71" s="10">
        <v>14717</v>
      </c>
      <c r="B71" s="11">
        <v>41920</v>
      </c>
      <c r="C71" s="12">
        <v>19.38</v>
      </c>
      <c r="D71" s="12">
        <v>1.48</v>
      </c>
      <c r="E71" s="15" t="s">
        <v>13</v>
      </c>
    </row>
    <row r="72" spans="1:13" x14ac:dyDescent="0.2">
      <c r="A72" s="10">
        <v>14718</v>
      </c>
      <c r="B72" s="11">
        <v>41920</v>
      </c>
      <c r="C72" s="12">
        <v>23.82</v>
      </c>
      <c r="D72" s="12">
        <v>1.82</v>
      </c>
      <c r="E72" s="15" t="s">
        <v>11</v>
      </c>
    </row>
    <row r="73" spans="1:13" x14ac:dyDescent="0.2">
      <c r="A73" s="10">
        <v>14719</v>
      </c>
      <c r="B73" s="11">
        <v>41920</v>
      </c>
      <c r="C73" s="12">
        <v>38.92</v>
      </c>
      <c r="D73" s="12">
        <v>2.97</v>
      </c>
      <c r="E73" s="15" t="s">
        <v>11</v>
      </c>
      <c r="F73" s="21"/>
      <c r="G73" s="22"/>
    </row>
    <row r="74" spans="1:13" x14ac:dyDescent="0.2">
      <c r="A74" s="10">
        <v>14720</v>
      </c>
      <c r="B74" s="11">
        <v>41920</v>
      </c>
      <c r="C74" s="12">
        <v>438.41</v>
      </c>
      <c r="D74" s="12">
        <v>33.409999999999997</v>
      </c>
      <c r="E74" s="15"/>
    </row>
    <row r="75" spans="1:13" x14ac:dyDescent="0.2">
      <c r="A75" s="10">
        <v>14721</v>
      </c>
      <c r="B75" s="11">
        <v>41920</v>
      </c>
      <c r="C75" s="12">
        <v>118.86</v>
      </c>
      <c r="D75" s="12">
        <v>9.06</v>
      </c>
      <c r="E75" s="17"/>
    </row>
    <row r="76" spans="1:13" s="29" customFormat="1" x14ac:dyDescent="0.2">
      <c r="A76" s="10">
        <v>14722</v>
      </c>
      <c r="B76" s="11">
        <v>41920</v>
      </c>
      <c r="C76" s="12">
        <v>48.71</v>
      </c>
      <c r="D76" s="12">
        <v>3.71</v>
      </c>
      <c r="E76" s="15" t="s">
        <v>13</v>
      </c>
      <c r="F76" s="4"/>
      <c r="G76" s="4"/>
      <c r="H76" s="31"/>
    </row>
    <row r="77" spans="1:13" s="29" customFormat="1" x14ac:dyDescent="0.2">
      <c r="A77" s="10">
        <v>14723</v>
      </c>
      <c r="B77" s="11">
        <v>41920</v>
      </c>
      <c r="C77" s="12">
        <v>26.42</v>
      </c>
      <c r="D77" s="12"/>
      <c r="E77" s="13" t="s">
        <v>36</v>
      </c>
      <c r="F77" s="18"/>
      <c r="G77" s="19"/>
      <c r="H77" s="31"/>
    </row>
    <row r="78" spans="1:13" x14ac:dyDescent="0.2">
      <c r="A78" s="10">
        <v>14724</v>
      </c>
      <c r="B78" s="11">
        <v>41920</v>
      </c>
      <c r="C78" s="12">
        <v>2.7</v>
      </c>
      <c r="D78" s="12">
        <v>0.21</v>
      </c>
      <c r="E78" s="17"/>
    </row>
    <row r="79" spans="1:13" x14ac:dyDescent="0.2">
      <c r="A79" s="10">
        <v>14725</v>
      </c>
      <c r="B79" s="11">
        <v>41920</v>
      </c>
      <c r="C79" s="12">
        <v>172.12</v>
      </c>
      <c r="D79" s="12">
        <v>13.12</v>
      </c>
      <c r="E79" s="15" t="s">
        <v>11</v>
      </c>
      <c r="F79" s="21"/>
      <c r="G79" s="22"/>
    </row>
    <row r="80" spans="1:13" x14ac:dyDescent="0.2">
      <c r="A80" s="10">
        <v>14726</v>
      </c>
      <c r="B80" s="11">
        <v>41920</v>
      </c>
      <c r="C80" s="12">
        <v>153.72</v>
      </c>
      <c r="D80" s="12">
        <v>11.72</v>
      </c>
      <c r="E80" s="15" t="s">
        <v>7</v>
      </c>
    </row>
    <row r="81" spans="1:7" x14ac:dyDescent="0.2">
      <c r="A81" s="10">
        <v>14727</v>
      </c>
      <c r="B81" s="11">
        <v>41920</v>
      </c>
      <c r="C81" s="12">
        <v>70.36</v>
      </c>
      <c r="D81" s="12">
        <v>5.36</v>
      </c>
      <c r="E81" s="15" t="s">
        <v>7</v>
      </c>
      <c r="F81" s="33">
        <f>+C70+C71+C72+C73+129.9+C76+C79+C80+25-48.71</f>
        <v>1019.6799999999998</v>
      </c>
      <c r="G81" s="34">
        <v>1007.28</v>
      </c>
    </row>
    <row r="82" spans="1:7" x14ac:dyDescent="0.2">
      <c r="A82" s="10">
        <v>14728</v>
      </c>
      <c r="B82" s="11">
        <v>41921</v>
      </c>
      <c r="C82" s="12">
        <v>36.81</v>
      </c>
      <c r="D82" s="12">
        <v>2.81</v>
      </c>
      <c r="E82" s="13" t="s">
        <v>85</v>
      </c>
    </row>
    <row r="83" spans="1:7" x14ac:dyDescent="0.2">
      <c r="A83" s="10">
        <v>14729</v>
      </c>
      <c r="B83" s="11">
        <v>41921</v>
      </c>
      <c r="C83" s="12">
        <v>20.57</v>
      </c>
      <c r="D83" s="12">
        <v>1.57</v>
      </c>
      <c r="E83" s="17"/>
      <c r="F83" s="18"/>
      <c r="G83" s="19"/>
    </row>
    <row r="84" spans="1:7" x14ac:dyDescent="0.2">
      <c r="A84" s="10">
        <v>14730</v>
      </c>
      <c r="B84" s="11">
        <v>41921</v>
      </c>
      <c r="C84" s="12">
        <v>69.28</v>
      </c>
      <c r="D84" s="12">
        <v>5.28</v>
      </c>
      <c r="E84" s="15" t="s">
        <v>11</v>
      </c>
      <c r="F84" s="21"/>
      <c r="G84" s="22"/>
    </row>
    <row r="85" spans="1:7" x14ac:dyDescent="0.2">
      <c r="A85" s="10">
        <v>14731</v>
      </c>
      <c r="B85" s="11">
        <v>41921</v>
      </c>
      <c r="C85" s="12">
        <v>270.63</v>
      </c>
      <c r="D85" s="12">
        <v>20.63</v>
      </c>
      <c r="E85" s="15" t="s">
        <v>11</v>
      </c>
      <c r="F85" s="21"/>
      <c r="G85" s="22"/>
    </row>
    <row r="86" spans="1:7" x14ac:dyDescent="0.2">
      <c r="A86" s="10">
        <v>14732</v>
      </c>
      <c r="B86" s="11">
        <v>41921</v>
      </c>
      <c r="C86" s="12">
        <v>19.05</v>
      </c>
      <c r="D86" s="12">
        <v>1.45</v>
      </c>
      <c r="E86" s="17"/>
    </row>
    <row r="87" spans="1:7" x14ac:dyDescent="0.2">
      <c r="A87" s="10">
        <v>14733</v>
      </c>
      <c r="B87" s="11">
        <v>41921</v>
      </c>
      <c r="C87" s="12">
        <v>215</v>
      </c>
      <c r="D87" s="12">
        <v>16.39</v>
      </c>
      <c r="E87" s="15"/>
    </row>
    <row r="88" spans="1:7" x14ac:dyDescent="0.2">
      <c r="A88" s="10">
        <v>14734</v>
      </c>
      <c r="B88" s="11">
        <v>41921</v>
      </c>
      <c r="C88" s="12">
        <v>362.3</v>
      </c>
      <c r="D88" s="12">
        <v>27.61</v>
      </c>
      <c r="E88" s="17"/>
      <c r="F88" s="18"/>
      <c r="G88" s="19"/>
    </row>
    <row r="89" spans="1:7" x14ac:dyDescent="0.2">
      <c r="A89" s="10">
        <v>14735</v>
      </c>
      <c r="B89" s="11">
        <v>41921</v>
      </c>
      <c r="C89" s="12">
        <v>81.13</v>
      </c>
      <c r="D89" s="12">
        <v>6.18</v>
      </c>
      <c r="E89" s="17"/>
    </row>
    <row r="90" spans="1:7" x14ac:dyDescent="0.2">
      <c r="A90" s="10">
        <v>14736</v>
      </c>
      <c r="B90" s="11">
        <v>41921</v>
      </c>
      <c r="C90" s="12">
        <v>121.59</v>
      </c>
      <c r="D90" s="12">
        <v>9.4</v>
      </c>
      <c r="E90" s="17"/>
    </row>
    <row r="91" spans="1:7" x14ac:dyDescent="0.2">
      <c r="A91" s="10">
        <v>14737</v>
      </c>
      <c r="B91" s="11">
        <v>41921</v>
      </c>
      <c r="C91" s="12">
        <v>16.239999999999998</v>
      </c>
      <c r="D91" s="12">
        <v>1.24</v>
      </c>
      <c r="E91" s="17"/>
    </row>
    <row r="92" spans="1:7" x14ac:dyDescent="0.2">
      <c r="A92" s="10">
        <v>14738</v>
      </c>
      <c r="B92" s="11">
        <v>41921</v>
      </c>
      <c r="C92" s="12">
        <v>5</v>
      </c>
      <c r="D92" s="12">
        <v>0.38</v>
      </c>
      <c r="E92" s="17"/>
    </row>
    <row r="93" spans="1:7" x14ac:dyDescent="0.2">
      <c r="A93" s="10">
        <v>14739</v>
      </c>
      <c r="B93" s="11">
        <v>41921</v>
      </c>
      <c r="C93" s="12">
        <v>7.11</v>
      </c>
      <c r="D93" s="12"/>
      <c r="E93" s="13" t="s">
        <v>36</v>
      </c>
      <c r="F93" s="18"/>
      <c r="G93" s="19"/>
    </row>
    <row r="94" spans="1:7" x14ac:dyDescent="0.2">
      <c r="A94" s="10">
        <v>14740</v>
      </c>
      <c r="B94" s="11">
        <v>41921</v>
      </c>
      <c r="C94" s="12">
        <v>-81.13</v>
      </c>
      <c r="D94" s="12">
        <v>-6.18</v>
      </c>
      <c r="E94" s="13" t="s">
        <v>86</v>
      </c>
    </row>
    <row r="95" spans="1:7" x14ac:dyDescent="0.2">
      <c r="A95" s="10">
        <v>14741</v>
      </c>
      <c r="B95" s="11">
        <v>41921</v>
      </c>
      <c r="C95" s="12">
        <v>19.489999999999998</v>
      </c>
      <c r="D95" s="12">
        <v>1.49</v>
      </c>
      <c r="E95" s="15" t="s">
        <v>11</v>
      </c>
      <c r="F95" s="21"/>
      <c r="G95" s="22"/>
    </row>
    <row r="96" spans="1:7" x14ac:dyDescent="0.2">
      <c r="A96" s="10">
        <v>14742</v>
      </c>
      <c r="B96" s="11">
        <v>41921</v>
      </c>
      <c r="C96" s="12">
        <v>32.479999999999997</v>
      </c>
      <c r="D96" s="12">
        <v>2.48</v>
      </c>
      <c r="E96" s="15" t="s">
        <v>87</v>
      </c>
    </row>
    <row r="97" spans="1:7" x14ac:dyDescent="0.2">
      <c r="A97" s="10">
        <v>14743</v>
      </c>
      <c r="B97" s="11">
        <v>41921</v>
      </c>
      <c r="C97" s="12">
        <v>171.04</v>
      </c>
      <c r="D97" s="12">
        <v>13.04</v>
      </c>
      <c r="E97" s="17"/>
      <c r="F97" s="18"/>
      <c r="G97" s="19"/>
    </row>
    <row r="98" spans="1:7" x14ac:dyDescent="0.2">
      <c r="A98" s="10">
        <v>14744</v>
      </c>
      <c r="B98" s="11">
        <v>41921</v>
      </c>
      <c r="C98" s="12">
        <v>368.05</v>
      </c>
      <c r="D98" s="12">
        <v>28.05</v>
      </c>
      <c r="E98" s="15" t="s">
        <v>11</v>
      </c>
      <c r="F98" s="21"/>
      <c r="G98" s="22"/>
    </row>
    <row r="99" spans="1:7" x14ac:dyDescent="0.2">
      <c r="A99" s="10">
        <v>14745</v>
      </c>
      <c r="B99" s="11">
        <v>41921</v>
      </c>
      <c r="C99" s="12">
        <v>164.54</v>
      </c>
      <c r="D99" s="12">
        <v>12.54</v>
      </c>
      <c r="E99" s="13"/>
      <c r="F99" s="18"/>
      <c r="G99" s="19"/>
    </row>
    <row r="100" spans="1:7" x14ac:dyDescent="0.2">
      <c r="A100" s="10">
        <v>14746</v>
      </c>
      <c r="B100" s="11">
        <v>41921</v>
      </c>
      <c r="C100" s="12">
        <v>186.19</v>
      </c>
      <c r="D100" s="12">
        <v>14.19</v>
      </c>
      <c r="E100" s="15" t="s">
        <v>11</v>
      </c>
    </row>
    <row r="101" spans="1:7" x14ac:dyDescent="0.2">
      <c r="A101" s="10">
        <v>14747</v>
      </c>
      <c r="B101" s="11">
        <v>41921</v>
      </c>
      <c r="C101" s="12">
        <v>33.56</v>
      </c>
      <c r="D101" s="12">
        <v>2.56</v>
      </c>
      <c r="E101" s="15" t="s">
        <v>21</v>
      </c>
      <c r="F101" s="45">
        <f>+C84+C85+50+29.77+C95+C100</f>
        <v>625.3599999999999</v>
      </c>
      <c r="G101" s="34">
        <v>1125.71</v>
      </c>
    </row>
    <row r="102" spans="1:7" x14ac:dyDescent="0.2">
      <c r="A102" s="10">
        <v>14748</v>
      </c>
      <c r="B102" s="11">
        <v>41922</v>
      </c>
      <c r="C102" s="25">
        <v>51.96</v>
      </c>
      <c r="D102" s="4">
        <v>3.96</v>
      </c>
      <c r="E102" s="26" t="s">
        <v>21</v>
      </c>
      <c r="F102" s="21"/>
      <c r="G102" s="22"/>
    </row>
    <row r="103" spans="1:7" x14ac:dyDescent="0.2">
      <c r="A103" s="10">
        <v>14749</v>
      </c>
      <c r="B103" s="11">
        <v>41922</v>
      </c>
      <c r="C103" s="25">
        <v>389.7</v>
      </c>
      <c r="D103" s="4">
        <v>29.7</v>
      </c>
      <c r="E103" s="26" t="s">
        <v>88</v>
      </c>
      <c r="F103" s="21"/>
      <c r="G103" s="22"/>
    </row>
    <row r="104" spans="1:7" x14ac:dyDescent="0.2">
      <c r="A104" s="10">
        <v>14750</v>
      </c>
      <c r="B104" s="11">
        <v>41922</v>
      </c>
      <c r="C104" s="25">
        <v>56.29</v>
      </c>
      <c r="D104" s="4">
        <v>4.29</v>
      </c>
      <c r="E104" s="26" t="s">
        <v>21</v>
      </c>
    </row>
    <row r="105" spans="1:7" x14ac:dyDescent="0.2">
      <c r="A105" s="10">
        <v>14751</v>
      </c>
      <c r="B105" s="11">
        <v>41922</v>
      </c>
      <c r="C105" s="12">
        <v>32.479999999999997</v>
      </c>
      <c r="D105" s="12">
        <v>2.48</v>
      </c>
      <c r="E105" s="15" t="s">
        <v>7</v>
      </c>
      <c r="F105" s="18"/>
      <c r="G105" s="19"/>
    </row>
    <row r="106" spans="1:7" x14ac:dyDescent="0.2">
      <c r="A106" s="10">
        <v>14752</v>
      </c>
      <c r="B106" s="11">
        <v>41922</v>
      </c>
      <c r="C106" s="12">
        <v>140.72999999999999</v>
      </c>
      <c r="D106" s="12">
        <v>10.73</v>
      </c>
      <c r="E106" s="15" t="s">
        <v>26</v>
      </c>
      <c r="F106" s="21"/>
      <c r="G106" s="22"/>
    </row>
    <row r="107" spans="1:7" x14ac:dyDescent="0.2">
      <c r="A107" s="10">
        <v>14753</v>
      </c>
      <c r="B107" s="11">
        <v>41922</v>
      </c>
      <c r="C107" s="12">
        <v>360.47</v>
      </c>
      <c r="D107" s="12">
        <v>27.47</v>
      </c>
      <c r="E107" s="15" t="s">
        <v>21</v>
      </c>
    </row>
    <row r="108" spans="1:7" x14ac:dyDescent="0.2">
      <c r="A108" s="10">
        <v>14754</v>
      </c>
      <c r="B108" s="11">
        <v>41922</v>
      </c>
      <c r="C108" s="12">
        <v>159.66999999999999</v>
      </c>
      <c r="D108" s="12">
        <v>12.17</v>
      </c>
      <c r="E108" s="13"/>
    </row>
    <row r="109" spans="1:7" x14ac:dyDescent="0.2">
      <c r="A109" s="10">
        <v>14755</v>
      </c>
      <c r="B109" s="11">
        <v>41922</v>
      </c>
      <c r="C109" s="12">
        <v>6.5</v>
      </c>
      <c r="D109" s="12">
        <v>0.5</v>
      </c>
      <c r="E109" s="15" t="s">
        <v>7</v>
      </c>
      <c r="F109" s="33">
        <f>+C105+C109+80+20</f>
        <v>138.97999999999999</v>
      </c>
      <c r="G109" s="34">
        <v>135.63</v>
      </c>
    </row>
    <row r="110" spans="1:7" x14ac:dyDescent="0.2">
      <c r="A110" s="10">
        <v>14756</v>
      </c>
      <c r="B110" s="11">
        <v>41923</v>
      </c>
      <c r="C110" s="25">
        <v>51.91</v>
      </c>
      <c r="D110" s="4">
        <v>3.96</v>
      </c>
      <c r="E110" s="26" t="s">
        <v>7</v>
      </c>
    </row>
    <row r="111" spans="1:7" x14ac:dyDescent="0.2">
      <c r="A111" s="10">
        <v>14757</v>
      </c>
      <c r="B111" s="11">
        <v>41923</v>
      </c>
      <c r="C111" s="25">
        <v>10.83</v>
      </c>
      <c r="D111" s="4">
        <v>0.83</v>
      </c>
      <c r="E111" s="26" t="s">
        <v>7</v>
      </c>
    </row>
    <row r="112" spans="1:7" x14ac:dyDescent="0.2">
      <c r="A112" s="10">
        <v>14758</v>
      </c>
      <c r="B112" s="11">
        <v>41923</v>
      </c>
      <c r="C112" s="25">
        <v>198.64</v>
      </c>
      <c r="D112" s="4">
        <v>15.14</v>
      </c>
      <c r="E112" s="26" t="s">
        <v>11</v>
      </c>
    </row>
    <row r="113" spans="1:7" x14ac:dyDescent="0.2">
      <c r="A113" s="10">
        <v>14759</v>
      </c>
      <c r="B113" s="11">
        <v>41923</v>
      </c>
      <c r="C113" s="25">
        <v>182.94</v>
      </c>
      <c r="D113" s="4">
        <v>13.94</v>
      </c>
      <c r="E113" s="26" t="s">
        <v>7</v>
      </c>
    </row>
    <row r="114" spans="1:7" x14ac:dyDescent="0.2">
      <c r="A114" s="10">
        <v>14760</v>
      </c>
      <c r="B114" s="11">
        <v>41923</v>
      </c>
      <c r="C114" s="25">
        <v>87.63</v>
      </c>
      <c r="D114" s="4">
        <v>6.68</v>
      </c>
      <c r="E114" s="26" t="s">
        <v>11</v>
      </c>
    </row>
    <row r="115" spans="1:7" x14ac:dyDescent="0.2">
      <c r="A115" s="10">
        <v>14761</v>
      </c>
      <c r="B115" s="11">
        <v>41923</v>
      </c>
      <c r="C115" s="25">
        <v>12.99</v>
      </c>
      <c r="D115" s="4">
        <v>0.99</v>
      </c>
    </row>
    <row r="116" spans="1:7" x14ac:dyDescent="0.2">
      <c r="A116" s="10">
        <v>14762</v>
      </c>
      <c r="B116" s="11">
        <v>41923</v>
      </c>
      <c r="C116" s="12">
        <v>24.9</v>
      </c>
      <c r="D116" s="12">
        <v>1.9</v>
      </c>
      <c r="E116" s="17"/>
      <c r="F116" s="18"/>
      <c r="G116" s="19"/>
    </row>
    <row r="117" spans="1:7" x14ac:dyDescent="0.2">
      <c r="A117" s="10">
        <v>14763</v>
      </c>
      <c r="B117" s="11">
        <v>41923</v>
      </c>
      <c r="C117" s="12">
        <v>16.239999999999998</v>
      </c>
      <c r="D117" s="12">
        <v>1.24</v>
      </c>
      <c r="E117" s="15" t="s">
        <v>7</v>
      </c>
      <c r="F117" s="21"/>
      <c r="G117" s="22"/>
    </row>
    <row r="118" spans="1:7" x14ac:dyDescent="0.2">
      <c r="A118" s="10">
        <v>14764</v>
      </c>
      <c r="B118" s="11">
        <v>41923</v>
      </c>
      <c r="C118" s="12">
        <v>12.99</v>
      </c>
      <c r="D118" s="12">
        <v>0.99</v>
      </c>
      <c r="E118" s="15" t="s">
        <v>7</v>
      </c>
      <c r="F118" s="21"/>
      <c r="G118" s="22"/>
    </row>
    <row r="119" spans="1:7" x14ac:dyDescent="0.2">
      <c r="A119" s="10">
        <v>14765</v>
      </c>
      <c r="B119" s="11">
        <v>41923</v>
      </c>
      <c r="C119" s="12">
        <v>200.26</v>
      </c>
      <c r="D119" s="12">
        <v>15.26</v>
      </c>
      <c r="E119" s="15" t="s">
        <v>7</v>
      </c>
      <c r="F119" s="21"/>
      <c r="G119" s="22"/>
    </row>
    <row r="120" spans="1:7" x14ac:dyDescent="0.2">
      <c r="A120" s="10">
        <v>14766</v>
      </c>
      <c r="B120" s="11">
        <v>41923</v>
      </c>
      <c r="C120" s="12">
        <v>49</v>
      </c>
      <c r="D120" s="12"/>
      <c r="E120" s="15" t="s">
        <v>11</v>
      </c>
      <c r="F120" s="21"/>
      <c r="G120" s="22"/>
    </row>
    <row r="121" spans="1:7" x14ac:dyDescent="0.2">
      <c r="A121" s="10">
        <v>14767</v>
      </c>
      <c r="B121" s="11">
        <v>41923</v>
      </c>
      <c r="C121" s="12">
        <v>7.52</v>
      </c>
      <c r="D121" s="12">
        <v>0.56999999999999995</v>
      </c>
      <c r="E121" s="15" t="s">
        <v>11</v>
      </c>
    </row>
    <row r="122" spans="1:7" x14ac:dyDescent="0.2">
      <c r="A122" s="10">
        <v>14768</v>
      </c>
      <c r="B122" s="11">
        <v>41923</v>
      </c>
      <c r="C122" s="12">
        <v>143.97</v>
      </c>
      <c r="D122" s="12">
        <v>10.97</v>
      </c>
      <c r="E122" s="15" t="s">
        <v>7</v>
      </c>
    </row>
    <row r="123" spans="1:7" x14ac:dyDescent="0.2">
      <c r="A123" s="10">
        <v>14769</v>
      </c>
      <c r="B123" s="11">
        <v>41923</v>
      </c>
      <c r="C123" s="12">
        <v>19.489999999999998</v>
      </c>
      <c r="D123" s="12">
        <v>1.49</v>
      </c>
      <c r="E123" s="15" t="s">
        <v>89</v>
      </c>
      <c r="F123" s="45">
        <f>173+C110+C111+90+C113+C114+C117+C118+C119+C120+C121</f>
        <v>882.31999999999994</v>
      </c>
      <c r="G123" s="34">
        <v>1009.5</v>
      </c>
    </row>
    <row r="124" spans="1:7" x14ac:dyDescent="0.2">
      <c r="A124" s="10">
        <v>14770</v>
      </c>
      <c r="B124" s="11">
        <v>41925</v>
      </c>
      <c r="C124" s="12">
        <v>54.13</v>
      </c>
      <c r="D124" s="12">
        <v>4.13</v>
      </c>
      <c r="E124" s="17"/>
    </row>
    <row r="125" spans="1:7" x14ac:dyDescent="0.2">
      <c r="A125" s="10">
        <v>14771</v>
      </c>
      <c r="B125" s="11">
        <v>41925</v>
      </c>
      <c r="C125" s="12">
        <v>21.6</v>
      </c>
      <c r="D125" s="12">
        <v>1.65</v>
      </c>
      <c r="E125" s="15" t="s">
        <v>11</v>
      </c>
      <c r="F125" s="21"/>
      <c r="G125" s="22"/>
    </row>
    <row r="126" spans="1:7" x14ac:dyDescent="0.2">
      <c r="A126" s="10">
        <v>14772</v>
      </c>
      <c r="B126" s="11">
        <v>41925</v>
      </c>
      <c r="C126" s="12">
        <v>74.69</v>
      </c>
      <c r="D126" s="12">
        <v>5.69</v>
      </c>
      <c r="E126" s="15" t="s">
        <v>7</v>
      </c>
    </row>
    <row r="127" spans="1:7" x14ac:dyDescent="0.2">
      <c r="A127" s="10">
        <v>14773</v>
      </c>
      <c r="B127" s="11">
        <v>41925</v>
      </c>
      <c r="C127" s="12">
        <v>54.13</v>
      </c>
      <c r="D127" s="12">
        <v>4.13</v>
      </c>
      <c r="E127" s="15" t="s">
        <v>21</v>
      </c>
      <c r="F127" s="21"/>
      <c r="G127" s="22"/>
    </row>
    <row r="128" spans="1:7" x14ac:dyDescent="0.2">
      <c r="A128" s="10">
        <v>14774</v>
      </c>
      <c r="B128" s="11">
        <v>41925</v>
      </c>
      <c r="C128" s="12">
        <v>365.89</v>
      </c>
      <c r="D128" s="12">
        <v>27.89</v>
      </c>
      <c r="E128" s="13" t="s">
        <v>90</v>
      </c>
      <c r="F128" s="18"/>
      <c r="G128" s="19"/>
    </row>
    <row r="129" spans="1:7" x14ac:dyDescent="0.2">
      <c r="A129" s="10">
        <v>14775</v>
      </c>
      <c r="B129" s="11">
        <v>41925</v>
      </c>
      <c r="C129" s="12">
        <v>120</v>
      </c>
      <c r="D129" s="12">
        <v>9.15</v>
      </c>
      <c r="E129" s="13" t="s">
        <v>91</v>
      </c>
    </row>
    <row r="130" spans="1:7" x14ac:dyDescent="0.2">
      <c r="A130" s="10">
        <v>14776</v>
      </c>
      <c r="B130" s="11">
        <v>41925</v>
      </c>
      <c r="C130" s="12">
        <v>43.3</v>
      </c>
      <c r="D130" s="12">
        <v>3.3</v>
      </c>
      <c r="E130" s="15" t="s">
        <v>11</v>
      </c>
      <c r="F130" s="21"/>
      <c r="G130" s="22"/>
    </row>
    <row r="131" spans="1:7" x14ac:dyDescent="0.2">
      <c r="A131" s="10">
        <v>14777</v>
      </c>
      <c r="B131" s="11">
        <v>41925</v>
      </c>
      <c r="C131" s="12">
        <v>41</v>
      </c>
      <c r="D131" s="12"/>
      <c r="E131" s="15" t="s">
        <v>19</v>
      </c>
      <c r="F131" s="33">
        <f>+C125+C126+45.36</f>
        <v>141.64999999999998</v>
      </c>
      <c r="G131" s="34">
        <v>139.53</v>
      </c>
    </row>
    <row r="132" spans="1:7" x14ac:dyDescent="0.2">
      <c r="A132" s="10">
        <v>14778</v>
      </c>
      <c r="B132" s="11">
        <v>41926</v>
      </c>
      <c r="C132" s="12">
        <v>23.71</v>
      </c>
      <c r="D132" s="12">
        <v>1.81</v>
      </c>
      <c r="E132" s="17"/>
      <c r="F132" s="18"/>
      <c r="G132" s="19"/>
    </row>
    <row r="133" spans="1:7" x14ac:dyDescent="0.2">
      <c r="A133" s="10">
        <v>14779</v>
      </c>
      <c r="B133" s="11">
        <v>41926</v>
      </c>
      <c r="C133" s="12">
        <v>6.44</v>
      </c>
      <c r="D133" s="12">
        <v>0.49</v>
      </c>
      <c r="E133" s="17"/>
      <c r="F133" s="18"/>
      <c r="G133" s="19"/>
    </row>
    <row r="134" spans="1:7" x14ac:dyDescent="0.2">
      <c r="A134" s="10">
        <v>14780</v>
      </c>
      <c r="B134" s="11">
        <v>41926</v>
      </c>
      <c r="C134" s="12">
        <v>285</v>
      </c>
      <c r="D134" s="12"/>
      <c r="E134" s="15" t="s">
        <v>82</v>
      </c>
    </row>
    <row r="135" spans="1:7" x14ac:dyDescent="0.2">
      <c r="A135" s="10">
        <v>14781</v>
      </c>
      <c r="B135" s="11">
        <v>41926</v>
      </c>
      <c r="C135" s="12">
        <v>145.06</v>
      </c>
      <c r="D135" s="12">
        <v>11.06</v>
      </c>
      <c r="E135" s="15" t="s">
        <v>92</v>
      </c>
    </row>
    <row r="136" spans="1:7" x14ac:dyDescent="0.2">
      <c r="A136" s="10">
        <v>14782</v>
      </c>
      <c r="B136" s="11">
        <v>41926</v>
      </c>
      <c r="C136" s="12">
        <v>136.4</v>
      </c>
      <c r="D136" s="12">
        <v>10.4</v>
      </c>
      <c r="E136" s="15" t="s">
        <v>11</v>
      </c>
    </row>
    <row r="137" spans="1:7" x14ac:dyDescent="0.2">
      <c r="A137" s="10">
        <v>14783</v>
      </c>
      <c r="B137" s="11">
        <v>41926</v>
      </c>
      <c r="C137" s="25">
        <v>29.17</v>
      </c>
      <c r="D137" s="4">
        <v>2.2200000000000002</v>
      </c>
      <c r="E137" s="15" t="s">
        <v>11</v>
      </c>
    </row>
    <row r="138" spans="1:7" x14ac:dyDescent="0.2">
      <c r="A138" s="10">
        <v>14784</v>
      </c>
      <c r="B138" s="11">
        <v>41926</v>
      </c>
      <c r="C138" s="12">
        <v>7.52</v>
      </c>
      <c r="D138" s="12">
        <v>0.56999999999999995</v>
      </c>
      <c r="E138" s="17"/>
      <c r="F138" s="18"/>
      <c r="G138" s="19"/>
    </row>
    <row r="139" spans="1:7" x14ac:dyDescent="0.2">
      <c r="A139" s="10">
        <v>14785</v>
      </c>
      <c r="B139" s="11">
        <v>41926</v>
      </c>
      <c r="C139" s="12">
        <v>96</v>
      </c>
      <c r="D139" s="12"/>
      <c r="E139" s="13" t="s">
        <v>8</v>
      </c>
      <c r="F139" s="18"/>
      <c r="G139" s="19"/>
    </row>
    <row r="140" spans="1:7" x14ac:dyDescent="0.2">
      <c r="A140" s="10">
        <v>14786</v>
      </c>
      <c r="B140" s="11">
        <v>41926</v>
      </c>
      <c r="C140" s="12">
        <v>100</v>
      </c>
      <c r="D140" s="12">
        <v>7.62</v>
      </c>
      <c r="E140" s="15" t="s">
        <v>11</v>
      </c>
      <c r="F140" s="33">
        <f>+C130+C136+C137+C140</f>
        <v>308.87</v>
      </c>
      <c r="G140" s="34">
        <v>305.01</v>
      </c>
    </row>
    <row r="141" spans="1:7" x14ac:dyDescent="0.2">
      <c r="A141" s="10">
        <v>14787</v>
      </c>
      <c r="B141" s="11">
        <v>41927</v>
      </c>
      <c r="C141" s="12">
        <v>208</v>
      </c>
      <c r="D141" s="12"/>
      <c r="E141" s="15" t="s">
        <v>53</v>
      </c>
      <c r="F141" s="21"/>
      <c r="G141" s="22"/>
    </row>
    <row r="142" spans="1:7" x14ac:dyDescent="0.2">
      <c r="A142" s="10">
        <v>14788</v>
      </c>
      <c r="B142" s="11">
        <v>41927</v>
      </c>
      <c r="C142" s="12">
        <v>279.36</v>
      </c>
      <c r="D142" s="12">
        <v>21.29</v>
      </c>
      <c r="E142" s="15" t="s">
        <v>93</v>
      </c>
      <c r="F142" s="21"/>
      <c r="G142" s="22"/>
    </row>
    <row r="143" spans="1:7" x14ac:dyDescent="0.2">
      <c r="A143" s="10">
        <v>14789</v>
      </c>
      <c r="B143" s="11">
        <v>41927</v>
      </c>
      <c r="C143" s="12">
        <v>29.83</v>
      </c>
      <c r="D143" s="12">
        <v>2.27</v>
      </c>
      <c r="E143" s="13"/>
      <c r="F143" s="18"/>
      <c r="G143" s="19"/>
    </row>
    <row r="144" spans="1:7" x14ac:dyDescent="0.2">
      <c r="A144" s="10">
        <v>14790</v>
      </c>
      <c r="B144" s="11">
        <v>41927</v>
      </c>
      <c r="C144" s="12">
        <v>355</v>
      </c>
      <c r="D144" s="12"/>
      <c r="E144" s="15" t="s">
        <v>82</v>
      </c>
    </row>
    <row r="145" spans="1:7" x14ac:dyDescent="0.2">
      <c r="A145" s="10">
        <v>14791</v>
      </c>
      <c r="B145" s="11">
        <v>41927</v>
      </c>
      <c r="C145" s="12">
        <v>31.99</v>
      </c>
      <c r="D145" s="12">
        <v>2.44</v>
      </c>
      <c r="E145" s="17"/>
      <c r="F145" s="18"/>
      <c r="G145" s="19"/>
    </row>
    <row r="146" spans="1:7" x14ac:dyDescent="0.2">
      <c r="A146" s="10">
        <v>14792</v>
      </c>
      <c r="B146" s="11">
        <v>41927</v>
      </c>
      <c r="C146" s="12">
        <v>361.56</v>
      </c>
      <c r="D146" s="12">
        <v>27.56</v>
      </c>
      <c r="E146" s="15" t="s">
        <v>94</v>
      </c>
      <c r="F146" s="21"/>
      <c r="G146" s="22"/>
    </row>
    <row r="147" spans="1:7" x14ac:dyDescent="0.2">
      <c r="A147" s="10">
        <v>14793</v>
      </c>
      <c r="B147" s="11">
        <v>41927</v>
      </c>
      <c r="C147" s="12">
        <v>267.62</v>
      </c>
      <c r="D147" s="12">
        <v>20.399999999999999</v>
      </c>
      <c r="E147" s="15" t="s">
        <v>11</v>
      </c>
      <c r="F147" s="21"/>
      <c r="G147" s="22"/>
    </row>
    <row r="148" spans="1:7" x14ac:dyDescent="0.2">
      <c r="A148" s="10">
        <v>14794</v>
      </c>
      <c r="B148" s="11">
        <v>41927</v>
      </c>
      <c r="C148" s="12">
        <v>947.13</v>
      </c>
      <c r="D148" s="12">
        <v>72.180000000000007</v>
      </c>
      <c r="E148" s="15" t="s">
        <v>11</v>
      </c>
    </row>
    <row r="149" spans="1:7" x14ac:dyDescent="0.2">
      <c r="A149" s="10">
        <v>14795</v>
      </c>
      <c r="B149" s="11">
        <v>41927</v>
      </c>
      <c r="C149" s="12">
        <v>40.93</v>
      </c>
      <c r="D149" s="12">
        <v>3.12</v>
      </c>
      <c r="E149" s="15" t="s">
        <v>11</v>
      </c>
    </row>
    <row r="150" spans="1:7" x14ac:dyDescent="0.2">
      <c r="A150" s="10">
        <v>14796</v>
      </c>
      <c r="B150" s="11">
        <v>41927</v>
      </c>
      <c r="C150" s="12">
        <v>43.3</v>
      </c>
      <c r="D150" s="12">
        <v>3.3</v>
      </c>
      <c r="E150" s="17"/>
      <c r="F150" s="12"/>
      <c r="G150" s="12"/>
    </row>
    <row r="151" spans="1:7" x14ac:dyDescent="0.2">
      <c r="A151" s="10">
        <v>14797</v>
      </c>
      <c r="B151" s="11">
        <v>41927</v>
      </c>
      <c r="C151" s="12">
        <v>21.65</v>
      </c>
      <c r="D151" s="12">
        <v>1.65</v>
      </c>
      <c r="E151" s="15" t="s">
        <v>11</v>
      </c>
    </row>
    <row r="152" spans="1:7" x14ac:dyDescent="0.2">
      <c r="A152" s="10">
        <v>14798</v>
      </c>
      <c r="B152" s="11">
        <v>41927</v>
      </c>
      <c r="C152" s="12">
        <v>8</v>
      </c>
      <c r="D152" s="12"/>
      <c r="E152" s="13" t="s">
        <v>95</v>
      </c>
    </row>
    <row r="153" spans="1:7" x14ac:dyDescent="0.2">
      <c r="A153" s="10">
        <v>14799</v>
      </c>
      <c r="B153" s="11">
        <v>41927</v>
      </c>
      <c r="C153" s="12">
        <v>283.29000000000002</v>
      </c>
      <c r="D153" s="12">
        <v>21.59</v>
      </c>
      <c r="E153" s="15" t="s">
        <v>96</v>
      </c>
      <c r="F153" s="21"/>
      <c r="G153" s="22"/>
    </row>
    <row r="154" spans="1:7" x14ac:dyDescent="0.2">
      <c r="A154" s="10">
        <v>14800</v>
      </c>
      <c r="B154" s="11">
        <v>41927</v>
      </c>
      <c r="C154" s="12">
        <v>241.07</v>
      </c>
      <c r="D154" s="12">
        <v>18.37</v>
      </c>
      <c r="E154" s="15" t="s">
        <v>11</v>
      </c>
      <c r="F154" s="21"/>
      <c r="G154" s="22"/>
    </row>
    <row r="155" spans="1:7" x14ac:dyDescent="0.2">
      <c r="A155" s="10">
        <v>14801</v>
      </c>
      <c r="B155" s="11">
        <v>41927</v>
      </c>
      <c r="C155" s="12">
        <v>261.42</v>
      </c>
      <c r="D155" s="12">
        <v>19.920000000000002</v>
      </c>
      <c r="E155" s="15" t="s">
        <v>11</v>
      </c>
    </row>
    <row r="156" spans="1:7" x14ac:dyDescent="0.2">
      <c r="A156" s="10">
        <v>14802</v>
      </c>
      <c r="B156" s="11">
        <v>41927</v>
      </c>
      <c r="C156" s="12">
        <v>64.900000000000006</v>
      </c>
      <c r="D156" s="12">
        <v>4.95</v>
      </c>
      <c r="E156" s="17"/>
    </row>
    <row r="157" spans="1:7" x14ac:dyDescent="0.2">
      <c r="A157" s="10">
        <v>14803</v>
      </c>
      <c r="B157" s="11">
        <v>41927</v>
      </c>
      <c r="C157" s="12">
        <v>194.85</v>
      </c>
      <c r="D157" s="12">
        <v>14.85</v>
      </c>
      <c r="E157" s="15" t="s">
        <v>21</v>
      </c>
    </row>
    <row r="158" spans="1:7" x14ac:dyDescent="0.2">
      <c r="A158" s="10">
        <v>14804</v>
      </c>
      <c r="B158" s="11">
        <v>41927</v>
      </c>
      <c r="C158" s="12">
        <v>74</v>
      </c>
      <c r="D158" s="12">
        <v>5.64</v>
      </c>
      <c r="E158" s="17"/>
    </row>
    <row r="159" spans="1:7" x14ac:dyDescent="0.2">
      <c r="A159" s="10">
        <v>14805</v>
      </c>
      <c r="B159" s="11">
        <v>41927</v>
      </c>
      <c r="C159" s="12">
        <v>27.06</v>
      </c>
      <c r="D159" s="12">
        <v>2.06</v>
      </c>
      <c r="E159" s="15" t="s">
        <v>11</v>
      </c>
      <c r="F159" s="33">
        <f>+C147+C148+C149+83.29+C151+C154+C155+C159</f>
        <v>1890.17</v>
      </c>
      <c r="G159" s="34">
        <v>1861.59</v>
      </c>
    </row>
    <row r="160" spans="1:7" x14ac:dyDescent="0.2">
      <c r="A160" s="10">
        <v>14806</v>
      </c>
      <c r="B160" s="11">
        <v>41928</v>
      </c>
      <c r="C160" s="12">
        <v>27.06</v>
      </c>
      <c r="D160" s="12">
        <v>2.06</v>
      </c>
      <c r="E160" s="15" t="s">
        <v>7</v>
      </c>
    </row>
    <row r="161" spans="1:7" x14ac:dyDescent="0.2">
      <c r="A161" s="10">
        <v>14807</v>
      </c>
      <c r="B161" s="11">
        <v>41928</v>
      </c>
      <c r="C161" s="12">
        <v>98</v>
      </c>
      <c r="D161" s="12"/>
      <c r="E161" s="13" t="s">
        <v>77</v>
      </c>
      <c r="F161" s="18"/>
      <c r="G161" s="19"/>
    </row>
    <row r="162" spans="1:7" x14ac:dyDescent="0.2">
      <c r="A162" s="10">
        <v>14808</v>
      </c>
      <c r="B162" s="11">
        <v>41928</v>
      </c>
      <c r="C162" s="12">
        <v>85</v>
      </c>
      <c r="D162" s="12"/>
      <c r="E162" s="13" t="s">
        <v>19</v>
      </c>
    </row>
    <row r="163" spans="1:7" x14ac:dyDescent="0.2">
      <c r="A163" s="10">
        <v>14809</v>
      </c>
      <c r="B163" s="11">
        <v>41928</v>
      </c>
      <c r="C163" s="12">
        <v>19</v>
      </c>
      <c r="D163" s="12"/>
      <c r="E163" s="13" t="s">
        <v>19</v>
      </c>
      <c r="F163" s="18"/>
      <c r="G163" s="19"/>
    </row>
    <row r="164" spans="1:7" x14ac:dyDescent="0.2">
      <c r="A164" s="10">
        <v>14810</v>
      </c>
      <c r="B164" s="11">
        <v>41928</v>
      </c>
      <c r="C164" s="12">
        <v>434.69</v>
      </c>
      <c r="D164" s="12">
        <v>33.130000000000003</v>
      </c>
      <c r="E164" s="15"/>
    </row>
    <row r="165" spans="1:7" x14ac:dyDescent="0.2">
      <c r="A165" s="10">
        <v>14811</v>
      </c>
      <c r="B165" s="11">
        <v>41928</v>
      </c>
      <c r="C165" s="12">
        <v>70.36</v>
      </c>
      <c r="D165" s="12">
        <v>5.36</v>
      </c>
      <c r="E165" s="17"/>
    </row>
    <row r="166" spans="1:7" x14ac:dyDescent="0.2">
      <c r="A166" s="10">
        <v>14812</v>
      </c>
      <c r="B166" s="11">
        <v>41928</v>
      </c>
      <c r="C166" s="12">
        <v>25.55</v>
      </c>
      <c r="D166" s="12">
        <v>1.95</v>
      </c>
      <c r="E166" s="15" t="s">
        <v>21</v>
      </c>
    </row>
    <row r="167" spans="1:7" x14ac:dyDescent="0.2">
      <c r="A167" s="10">
        <v>14813</v>
      </c>
      <c r="B167" s="11">
        <v>41928</v>
      </c>
      <c r="C167" s="12">
        <v>15</v>
      </c>
      <c r="D167" s="12"/>
      <c r="E167" s="13" t="s">
        <v>19</v>
      </c>
    </row>
    <row r="168" spans="1:7" x14ac:dyDescent="0.2">
      <c r="A168" s="10">
        <v>14814</v>
      </c>
      <c r="B168" s="11">
        <v>41928</v>
      </c>
      <c r="C168" s="12">
        <v>16</v>
      </c>
      <c r="D168" s="12">
        <v>1.22</v>
      </c>
      <c r="E168" s="17"/>
      <c r="F168" s="33">
        <f>+C160</f>
        <v>27.06</v>
      </c>
      <c r="G168" s="34">
        <v>26.45</v>
      </c>
    </row>
    <row r="169" spans="1:7" x14ac:dyDescent="0.2">
      <c r="A169" s="10">
        <v>14815</v>
      </c>
      <c r="B169" s="11">
        <v>41929</v>
      </c>
      <c r="C169" s="25">
        <v>28.15</v>
      </c>
      <c r="D169" s="4">
        <v>2.15</v>
      </c>
      <c r="E169" s="26" t="s">
        <v>11</v>
      </c>
    </row>
    <row r="170" spans="1:7" x14ac:dyDescent="0.2">
      <c r="A170" s="10">
        <v>14816</v>
      </c>
      <c r="B170" s="11">
        <v>41929</v>
      </c>
      <c r="C170" s="25">
        <v>32.479999999999997</v>
      </c>
      <c r="D170" s="4">
        <v>2.48</v>
      </c>
      <c r="E170" s="26"/>
    </row>
    <row r="171" spans="1:7" x14ac:dyDescent="0.2">
      <c r="A171" s="10">
        <v>14817</v>
      </c>
      <c r="B171" s="11">
        <v>41929</v>
      </c>
      <c r="C171" s="25">
        <v>51.91</v>
      </c>
      <c r="D171" s="4">
        <v>3.96</v>
      </c>
      <c r="E171" s="26" t="s">
        <v>7</v>
      </c>
    </row>
    <row r="172" spans="1:7" x14ac:dyDescent="0.2">
      <c r="A172" s="10">
        <v>14818</v>
      </c>
      <c r="B172" s="11">
        <v>41929</v>
      </c>
      <c r="C172" s="12">
        <v>30.09</v>
      </c>
      <c r="D172" s="12">
        <v>2.29</v>
      </c>
      <c r="E172" s="15" t="s">
        <v>7</v>
      </c>
      <c r="F172" s="21"/>
      <c r="G172" s="22"/>
    </row>
    <row r="173" spans="1:7" x14ac:dyDescent="0.2">
      <c r="A173" s="10">
        <v>14819</v>
      </c>
      <c r="B173" s="11">
        <v>41929</v>
      </c>
      <c r="C173" s="12">
        <v>40</v>
      </c>
      <c r="D173" s="12">
        <v>3.05</v>
      </c>
      <c r="E173" s="13"/>
      <c r="F173" s="18"/>
      <c r="G173" s="19"/>
    </row>
    <row r="174" spans="1:7" x14ac:dyDescent="0.2">
      <c r="A174" s="10">
        <v>14820</v>
      </c>
      <c r="B174" s="11">
        <v>41929</v>
      </c>
      <c r="C174" s="12">
        <v>159.13</v>
      </c>
      <c r="D174" s="12">
        <v>12.13</v>
      </c>
      <c r="E174" s="15" t="s">
        <v>7</v>
      </c>
    </row>
    <row r="175" spans="1:7" x14ac:dyDescent="0.2">
      <c r="A175" s="10">
        <v>14821</v>
      </c>
      <c r="B175" s="11">
        <v>41929</v>
      </c>
      <c r="C175" s="12">
        <v>43.25</v>
      </c>
      <c r="D175" s="12">
        <v>3.3</v>
      </c>
      <c r="E175" s="17"/>
      <c r="F175" s="18"/>
      <c r="G175" s="19"/>
    </row>
    <row r="176" spans="1:7" x14ac:dyDescent="0.2">
      <c r="A176" s="10">
        <v>14822</v>
      </c>
      <c r="B176" s="11">
        <v>41929</v>
      </c>
      <c r="C176" s="12">
        <v>5.48</v>
      </c>
      <c r="D176" s="12"/>
      <c r="E176" s="15" t="s">
        <v>97</v>
      </c>
    </row>
    <row r="177" spans="1:7" x14ac:dyDescent="0.2">
      <c r="A177" s="10">
        <v>14823</v>
      </c>
      <c r="B177" s="11">
        <v>41929</v>
      </c>
      <c r="C177" s="12">
        <v>215.15</v>
      </c>
      <c r="D177" s="12">
        <v>16.399999999999999</v>
      </c>
      <c r="E177" s="15" t="s">
        <v>11</v>
      </c>
    </row>
    <row r="178" spans="1:7" x14ac:dyDescent="0.2">
      <c r="A178" s="10">
        <v>14824</v>
      </c>
      <c r="B178" s="11">
        <v>41929</v>
      </c>
      <c r="C178" s="12">
        <v>138</v>
      </c>
      <c r="D178" s="12"/>
      <c r="E178" s="13" t="s">
        <v>8</v>
      </c>
    </row>
    <row r="179" spans="1:7" x14ac:dyDescent="0.2">
      <c r="A179" s="10">
        <v>14825</v>
      </c>
      <c r="B179" s="11">
        <v>41929</v>
      </c>
      <c r="C179" s="12">
        <v>33.06</v>
      </c>
      <c r="D179" s="12"/>
      <c r="E179" s="13" t="s">
        <v>8</v>
      </c>
      <c r="F179" s="33">
        <f>+C171+C172+C174+C169+360.47+C177</f>
        <v>844.9</v>
      </c>
      <c r="G179" s="34">
        <v>835.03</v>
      </c>
    </row>
    <row r="180" spans="1:7" x14ac:dyDescent="0.2">
      <c r="A180" s="10">
        <v>14826</v>
      </c>
      <c r="B180" s="11">
        <v>41930</v>
      </c>
      <c r="C180" s="12">
        <v>21.9</v>
      </c>
      <c r="D180" s="12"/>
      <c r="E180" s="13" t="s">
        <v>71</v>
      </c>
    </row>
    <row r="181" spans="1:7" x14ac:dyDescent="0.2">
      <c r="A181" s="10">
        <v>14827</v>
      </c>
      <c r="B181" s="11">
        <v>41930</v>
      </c>
      <c r="C181" s="12">
        <v>25</v>
      </c>
      <c r="D181" s="12"/>
      <c r="E181" s="13" t="s">
        <v>98</v>
      </c>
      <c r="F181" s="18"/>
      <c r="G181" s="19"/>
    </row>
    <row r="182" spans="1:7" x14ac:dyDescent="0.2">
      <c r="A182" s="10">
        <v>14828</v>
      </c>
      <c r="B182" s="11">
        <v>41930</v>
      </c>
      <c r="C182" s="12">
        <v>27</v>
      </c>
      <c r="D182" s="12">
        <v>2.06</v>
      </c>
      <c r="E182" s="15" t="s">
        <v>7</v>
      </c>
      <c r="F182" s="21"/>
      <c r="G182" s="22"/>
    </row>
    <row r="183" spans="1:7" x14ac:dyDescent="0.2">
      <c r="A183" s="10">
        <v>14829</v>
      </c>
      <c r="B183" s="11">
        <v>41930</v>
      </c>
      <c r="C183" s="12">
        <v>75.78</v>
      </c>
      <c r="D183" s="12">
        <v>5.78</v>
      </c>
      <c r="E183" s="15" t="s">
        <v>11</v>
      </c>
    </row>
    <row r="184" spans="1:7" x14ac:dyDescent="0.2">
      <c r="A184" s="10">
        <v>14830</v>
      </c>
      <c r="B184" s="11">
        <v>41930</v>
      </c>
      <c r="C184" s="12">
        <v>26.001649999999998</v>
      </c>
      <c r="D184" s="12">
        <v>1.9816500000000001</v>
      </c>
      <c r="E184" s="17"/>
    </row>
    <row r="185" spans="1:7" x14ac:dyDescent="0.2">
      <c r="A185" s="10">
        <v>14831</v>
      </c>
      <c r="B185" s="11">
        <v>41930</v>
      </c>
      <c r="C185" s="12">
        <v>23.82</v>
      </c>
      <c r="D185" s="12">
        <v>1.82</v>
      </c>
      <c r="E185" s="15" t="s">
        <v>7</v>
      </c>
    </row>
    <row r="186" spans="1:7" x14ac:dyDescent="0.2">
      <c r="A186" s="10">
        <v>14832</v>
      </c>
      <c r="B186" s="11">
        <v>41930</v>
      </c>
      <c r="C186" s="12">
        <v>2.7</v>
      </c>
      <c r="D186" s="12">
        <v>0.21</v>
      </c>
      <c r="E186" s="17"/>
      <c r="F186" s="18"/>
      <c r="G186" s="19"/>
    </row>
    <row r="187" spans="1:7" x14ac:dyDescent="0.2">
      <c r="A187" s="10">
        <v>14833</v>
      </c>
      <c r="B187" s="11">
        <v>41930</v>
      </c>
      <c r="C187" s="12">
        <v>25</v>
      </c>
      <c r="D187" s="12">
        <v>1.91</v>
      </c>
      <c r="E187" s="17"/>
    </row>
    <row r="188" spans="1:7" x14ac:dyDescent="0.2">
      <c r="A188" s="10">
        <v>14834</v>
      </c>
      <c r="B188" s="11">
        <v>41930</v>
      </c>
      <c r="C188" s="12">
        <v>184.03</v>
      </c>
      <c r="D188" s="12">
        <v>14.03</v>
      </c>
      <c r="E188" s="15" t="s">
        <v>11</v>
      </c>
    </row>
    <row r="189" spans="1:7" x14ac:dyDescent="0.2">
      <c r="A189" s="10">
        <v>14835</v>
      </c>
      <c r="B189" s="11">
        <v>41930</v>
      </c>
      <c r="C189" s="12">
        <v>20.57</v>
      </c>
      <c r="D189" s="12">
        <v>1.57</v>
      </c>
      <c r="E189" s="15" t="s">
        <v>7</v>
      </c>
      <c r="F189" s="21"/>
      <c r="G189" s="22"/>
    </row>
    <row r="190" spans="1:7" x14ac:dyDescent="0.2">
      <c r="A190" s="10">
        <v>14836</v>
      </c>
      <c r="B190" s="11">
        <v>41930</v>
      </c>
      <c r="C190" s="12">
        <v>27</v>
      </c>
      <c r="D190" s="12"/>
      <c r="E190" s="15" t="s">
        <v>21</v>
      </c>
    </row>
    <row r="191" spans="1:7" x14ac:dyDescent="0.2">
      <c r="A191" s="10">
        <v>14837</v>
      </c>
      <c r="B191" s="11">
        <v>41930</v>
      </c>
      <c r="C191" s="12">
        <v>152.09</v>
      </c>
      <c r="D191" s="12">
        <v>11.59</v>
      </c>
      <c r="E191" s="17"/>
      <c r="F191" s="33">
        <f>+C182+C183+C185+C188+C189</f>
        <v>331.2</v>
      </c>
      <c r="G191" s="34">
        <v>327.14</v>
      </c>
    </row>
    <row r="192" spans="1:7" x14ac:dyDescent="0.2">
      <c r="A192" s="10">
        <v>14838</v>
      </c>
      <c r="B192" s="11">
        <v>41932</v>
      </c>
      <c r="C192" s="12">
        <v>81</v>
      </c>
      <c r="D192" s="12"/>
      <c r="E192" s="13" t="s">
        <v>99</v>
      </c>
    </row>
    <row r="193" spans="1:7" x14ac:dyDescent="0.2">
      <c r="A193" s="10">
        <v>14839</v>
      </c>
      <c r="B193" s="11">
        <v>41932</v>
      </c>
      <c r="C193" s="12">
        <v>65.38</v>
      </c>
      <c r="D193" s="12">
        <v>4.9800000000000004</v>
      </c>
      <c r="E193" s="15" t="s">
        <v>11</v>
      </c>
    </row>
    <row r="194" spans="1:7" x14ac:dyDescent="0.2">
      <c r="A194" s="10">
        <v>14840</v>
      </c>
      <c r="B194" s="11">
        <v>41932</v>
      </c>
      <c r="C194" s="12">
        <v>15.16</v>
      </c>
      <c r="D194" s="12">
        <v>1.1599999999999999</v>
      </c>
      <c r="E194" s="17"/>
    </row>
    <row r="195" spans="1:7" x14ac:dyDescent="0.2">
      <c r="A195" s="10">
        <v>14841</v>
      </c>
      <c r="B195" s="11">
        <v>41932</v>
      </c>
      <c r="C195" s="12">
        <v>643.01</v>
      </c>
      <c r="D195" s="12">
        <v>49.01</v>
      </c>
      <c r="E195" s="15" t="s">
        <v>11</v>
      </c>
      <c r="F195" s="21"/>
      <c r="G195" s="22"/>
    </row>
    <row r="196" spans="1:7" x14ac:dyDescent="0.2">
      <c r="A196" s="10">
        <v>14842</v>
      </c>
      <c r="B196" s="11">
        <v>41932</v>
      </c>
      <c r="C196" s="12">
        <v>86.49</v>
      </c>
      <c r="D196" s="12">
        <v>6.59</v>
      </c>
      <c r="E196" s="15" t="s">
        <v>21</v>
      </c>
    </row>
    <row r="197" spans="1:7" x14ac:dyDescent="0.2">
      <c r="A197" s="10">
        <v>14843</v>
      </c>
      <c r="B197" s="11">
        <v>41932</v>
      </c>
      <c r="C197" s="12">
        <v>29.23</v>
      </c>
      <c r="D197" s="12">
        <v>2.23</v>
      </c>
      <c r="E197" s="15" t="s">
        <v>11</v>
      </c>
    </row>
    <row r="198" spans="1:7" x14ac:dyDescent="0.2">
      <c r="A198" s="10">
        <v>14844</v>
      </c>
      <c r="B198" s="11">
        <v>41932</v>
      </c>
      <c r="C198" s="25">
        <v>27.06</v>
      </c>
      <c r="D198" s="4">
        <v>2.06</v>
      </c>
      <c r="E198" s="26"/>
    </row>
    <row r="199" spans="1:7" x14ac:dyDescent="0.2">
      <c r="A199" s="10">
        <v>14845</v>
      </c>
      <c r="B199" s="11">
        <v>41932</v>
      </c>
      <c r="C199" s="12">
        <v>14.56</v>
      </c>
      <c r="D199" s="12">
        <v>1.1100000000000001</v>
      </c>
      <c r="E199" s="15" t="s">
        <v>11</v>
      </c>
      <c r="F199" s="21"/>
      <c r="G199" s="22"/>
    </row>
    <row r="200" spans="1:7" x14ac:dyDescent="0.2">
      <c r="A200" s="10">
        <v>14846</v>
      </c>
      <c r="B200" s="11">
        <v>41932</v>
      </c>
      <c r="C200" s="12">
        <v>129.9</v>
      </c>
      <c r="D200" s="12">
        <v>9.9</v>
      </c>
      <c r="E200" s="15" t="s">
        <v>11</v>
      </c>
      <c r="F200" s="21"/>
      <c r="G200" s="22"/>
    </row>
    <row r="201" spans="1:7" x14ac:dyDescent="0.2">
      <c r="A201" s="10">
        <v>14847</v>
      </c>
      <c r="B201" s="11">
        <v>41932</v>
      </c>
      <c r="C201" s="12">
        <v>15.16</v>
      </c>
      <c r="D201" s="12">
        <v>1.1599999999999999</v>
      </c>
      <c r="E201" s="13"/>
    </row>
    <row r="202" spans="1:7" x14ac:dyDescent="0.2">
      <c r="A202" s="10">
        <v>14848</v>
      </c>
      <c r="B202" s="11">
        <v>41932</v>
      </c>
      <c r="C202" s="12">
        <v>16</v>
      </c>
      <c r="D202" s="12"/>
      <c r="E202" s="13" t="s">
        <v>95</v>
      </c>
    </row>
    <row r="203" spans="1:7" x14ac:dyDescent="0.2">
      <c r="A203" s="10">
        <v>14849</v>
      </c>
      <c r="B203" s="11">
        <v>41932</v>
      </c>
      <c r="C203" s="12">
        <v>40</v>
      </c>
      <c r="D203" s="12"/>
      <c r="E203" s="15" t="s">
        <v>100</v>
      </c>
    </row>
    <row r="204" spans="1:7" x14ac:dyDescent="0.2">
      <c r="A204" s="10">
        <v>14850</v>
      </c>
      <c r="B204" s="11">
        <v>41932</v>
      </c>
      <c r="C204" s="12">
        <v>11.88</v>
      </c>
      <c r="D204" s="12">
        <v>0.91</v>
      </c>
      <c r="E204" s="15" t="s">
        <v>101</v>
      </c>
    </row>
    <row r="205" spans="1:7" x14ac:dyDescent="0.2">
      <c r="A205" s="10">
        <v>14851</v>
      </c>
      <c r="B205" s="11">
        <v>41932</v>
      </c>
      <c r="C205" s="12">
        <v>18.46</v>
      </c>
      <c r="D205" s="12">
        <v>1.41</v>
      </c>
      <c r="E205" s="15" t="s">
        <v>11</v>
      </c>
    </row>
    <row r="206" spans="1:7" x14ac:dyDescent="0.2">
      <c r="A206" s="10">
        <v>14852</v>
      </c>
      <c r="B206" s="11">
        <v>41932</v>
      </c>
      <c r="C206" s="12">
        <v>8.66</v>
      </c>
      <c r="D206" s="12">
        <v>0.66</v>
      </c>
      <c r="E206" s="15" t="s">
        <v>11</v>
      </c>
    </row>
    <row r="207" spans="1:7" x14ac:dyDescent="0.2">
      <c r="A207" s="10">
        <v>14853</v>
      </c>
      <c r="B207" s="11">
        <v>41932</v>
      </c>
      <c r="C207" s="12">
        <v>40</v>
      </c>
      <c r="D207" s="12">
        <v>3.05</v>
      </c>
      <c r="E207" s="17"/>
      <c r="F207" s="33">
        <f>+C195+C197+C199+C200+C205+C193+C206-14.56</f>
        <v>894.64</v>
      </c>
      <c r="G207" s="34">
        <v>885.1</v>
      </c>
    </row>
    <row r="208" spans="1:7" x14ac:dyDescent="0.2">
      <c r="A208" s="10">
        <v>14854</v>
      </c>
      <c r="B208" s="11">
        <v>41933</v>
      </c>
      <c r="C208" s="12">
        <v>73.61</v>
      </c>
      <c r="D208" s="12">
        <v>5.61</v>
      </c>
      <c r="E208" s="15" t="s">
        <v>7</v>
      </c>
      <c r="F208" s="21"/>
      <c r="G208" s="22"/>
    </row>
    <row r="209" spans="1:7" x14ac:dyDescent="0.2">
      <c r="A209" s="10">
        <v>14855</v>
      </c>
      <c r="B209" s="11">
        <v>41933</v>
      </c>
      <c r="C209" s="12">
        <v>11.91</v>
      </c>
      <c r="D209" s="12">
        <v>0.91</v>
      </c>
      <c r="E209" s="15" t="s">
        <v>11</v>
      </c>
    </row>
    <row r="210" spans="1:7" x14ac:dyDescent="0.2">
      <c r="A210" s="10">
        <v>14856</v>
      </c>
      <c r="B210" s="11">
        <v>41933</v>
      </c>
      <c r="C210" s="12">
        <v>45.47</v>
      </c>
      <c r="D210" s="12">
        <v>3.47</v>
      </c>
      <c r="E210" s="15" t="s">
        <v>21</v>
      </c>
      <c r="F210" s="21"/>
      <c r="G210" s="22"/>
    </row>
    <row r="211" spans="1:7" x14ac:dyDescent="0.2">
      <c r="A211" s="10">
        <v>14857</v>
      </c>
      <c r="B211" s="11">
        <v>41933</v>
      </c>
      <c r="C211" s="12">
        <v>9.74</v>
      </c>
      <c r="D211" s="12">
        <v>0.74</v>
      </c>
      <c r="E211" s="17"/>
      <c r="F211" s="18"/>
      <c r="G211" s="19"/>
    </row>
    <row r="212" spans="1:7" x14ac:dyDescent="0.2">
      <c r="A212" s="10">
        <v>14858</v>
      </c>
      <c r="B212" s="11">
        <v>41933</v>
      </c>
      <c r="C212" s="12">
        <v>14</v>
      </c>
      <c r="D212" s="12">
        <v>1.07</v>
      </c>
      <c r="E212" s="17"/>
    </row>
    <row r="213" spans="1:7" x14ac:dyDescent="0.2">
      <c r="A213" s="10">
        <v>14859</v>
      </c>
      <c r="B213" s="11">
        <v>41933</v>
      </c>
      <c r="C213" s="12">
        <v>4.76</v>
      </c>
      <c r="D213" s="12">
        <v>0.36</v>
      </c>
      <c r="E213" s="17"/>
    </row>
    <row r="214" spans="1:7" x14ac:dyDescent="0.2">
      <c r="A214" s="10">
        <v>14860</v>
      </c>
      <c r="B214" s="11">
        <v>41933</v>
      </c>
      <c r="C214" s="12">
        <v>5</v>
      </c>
      <c r="D214" s="12">
        <v>0.38</v>
      </c>
      <c r="E214" s="17"/>
      <c r="F214" s="33">
        <f>+C208+C209</f>
        <v>85.52</v>
      </c>
      <c r="G214" s="34">
        <v>83.52</v>
      </c>
    </row>
    <row r="215" spans="1:7" x14ac:dyDescent="0.2">
      <c r="A215" s="10">
        <v>14861</v>
      </c>
      <c r="B215" s="11">
        <v>41934</v>
      </c>
      <c r="C215" s="12">
        <v>139</v>
      </c>
      <c r="D215" s="12"/>
      <c r="E215" s="13" t="s">
        <v>99</v>
      </c>
      <c r="F215" s="18"/>
      <c r="G215" s="19"/>
    </row>
    <row r="216" spans="1:7" x14ac:dyDescent="0.2">
      <c r="A216" s="10">
        <v>14862</v>
      </c>
      <c r="B216" s="11">
        <v>41934</v>
      </c>
      <c r="C216" s="12">
        <v>80.11</v>
      </c>
      <c r="D216" s="12">
        <v>6.11</v>
      </c>
      <c r="E216" s="17"/>
      <c r="F216" s="18"/>
      <c r="G216" s="19"/>
    </row>
    <row r="217" spans="1:7" x14ac:dyDescent="0.2">
      <c r="A217" s="10">
        <v>14863</v>
      </c>
      <c r="B217" s="11">
        <v>41934</v>
      </c>
      <c r="C217" s="12">
        <v>7.58</v>
      </c>
      <c r="D217" s="12">
        <v>0.57999999999999996</v>
      </c>
      <c r="E217" s="17"/>
      <c r="F217" s="18"/>
      <c r="G217" s="19"/>
    </row>
    <row r="218" spans="1:7" x14ac:dyDescent="0.2">
      <c r="A218" s="10">
        <v>14864</v>
      </c>
      <c r="B218" s="11">
        <v>41934</v>
      </c>
      <c r="C218" s="12">
        <v>12.99</v>
      </c>
      <c r="D218" s="12">
        <v>0.99</v>
      </c>
      <c r="E218" s="15" t="s">
        <v>11</v>
      </c>
      <c r="F218" s="21"/>
      <c r="G218" s="22"/>
    </row>
    <row r="219" spans="1:7" x14ac:dyDescent="0.2">
      <c r="A219" s="10">
        <v>14865</v>
      </c>
      <c r="B219" s="11">
        <v>41934</v>
      </c>
      <c r="C219" s="12">
        <v>178.61</v>
      </c>
      <c r="D219" s="12">
        <v>13.61</v>
      </c>
      <c r="E219" s="15" t="s">
        <v>7</v>
      </c>
      <c r="F219" s="21"/>
      <c r="G219" s="22"/>
    </row>
    <row r="220" spans="1:7" x14ac:dyDescent="0.2">
      <c r="A220" s="10">
        <v>14866</v>
      </c>
      <c r="B220" s="11">
        <v>41934</v>
      </c>
      <c r="C220" s="12">
        <v>8</v>
      </c>
      <c r="D220" s="12">
        <v>0</v>
      </c>
      <c r="E220" s="15" t="s">
        <v>11</v>
      </c>
    </row>
    <row r="221" spans="1:7" x14ac:dyDescent="0.2">
      <c r="A221" s="10">
        <v>14867</v>
      </c>
      <c r="B221" s="11">
        <v>41934</v>
      </c>
      <c r="C221" s="12">
        <v>40.049999999999997</v>
      </c>
      <c r="D221" s="12">
        <v>3.05</v>
      </c>
      <c r="E221" s="17"/>
      <c r="F221" s="18"/>
      <c r="G221" s="19"/>
    </row>
    <row r="222" spans="1:7" x14ac:dyDescent="0.2">
      <c r="A222" s="10">
        <v>14868</v>
      </c>
      <c r="B222" s="11">
        <v>41934</v>
      </c>
      <c r="C222" s="12">
        <v>25.98</v>
      </c>
      <c r="D222" s="12">
        <v>1.98</v>
      </c>
      <c r="E222" s="17"/>
      <c r="F222" s="18"/>
      <c r="G222" s="19"/>
    </row>
    <row r="223" spans="1:7" x14ac:dyDescent="0.2">
      <c r="A223" s="10">
        <v>14869</v>
      </c>
      <c r="B223" s="11">
        <v>41934</v>
      </c>
      <c r="C223" s="12">
        <v>391.87</v>
      </c>
      <c r="D223" s="12">
        <v>29.87</v>
      </c>
      <c r="E223" s="15" t="s">
        <v>102</v>
      </c>
    </row>
    <row r="224" spans="1:7" x14ac:dyDescent="0.2">
      <c r="A224" s="10">
        <v>14870</v>
      </c>
      <c r="B224" s="11">
        <v>41934</v>
      </c>
      <c r="C224" s="12">
        <v>218.67</v>
      </c>
      <c r="D224" s="12">
        <v>16.670000000000002</v>
      </c>
      <c r="E224" s="15"/>
    </row>
    <row r="225" spans="1:7" x14ac:dyDescent="0.2">
      <c r="A225" s="10">
        <v>14871</v>
      </c>
      <c r="B225" s="11">
        <v>41934</v>
      </c>
      <c r="C225" s="12">
        <v>112</v>
      </c>
      <c r="D225" s="12"/>
      <c r="E225" s="15" t="s">
        <v>103</v>
      </c>
    </row>
    <row r="226" spans="1:7" x14ac:dyDescent="0.2">
      <c r="A226" s="10">
        <v>14872</v>
      </c>
      <c r="B226" s="11">
        <v>41934</v>
      </c>
      <c r="C226" s="12">
        <v>81.19</v>
      </c>
      <c r="D226" s="12">
        <v>6.19</v>
      </c>
      <c r="E226" s="15" t="s">
        <v>11</v>
      </c>
      <c r="F226" s="33">
        <f>+C218+C219+40+200+C226+200+C220</f>
        <v>720.79</v>
      </c>
      <c r="G226" s="34">
        <v>706.16</v>
      </c>
    </row>
    <row r="227" spans="1:7" x14ac:dyDescent="0.2">
      <c r="A227" s="10">
        <v>14873</v>
      </c>
      <c r="B227" s="11">
        <v>41935</v>
      </c>
      <c r="C227" s="12">
        <v>300</v>
      </c>
      <c r="D227" s="12">
        <v>22.86</v>
      </c>
      <c r="E227" s="17"/>
    </row>
    <row r="228" spans="1:7" x14ac:dyDescent="0.2">
      <c r="A228" s="10">
        <v>14874</v>
      </c>
      <c r="B228" s="11">
        <v>41935</v>
      </c>
      <c r="C228" s="12">
        <v>29.23</v>
      </c>
      <c r="D228" s="12">
        <v>2.23</v>
      </c>
      <c r="E228" s="17"/>
    </row>
    <row r="229" spans="1:7" x14ac:dyDescent="0.2">
      <c r="A229" s="10">
        <v>14875</v>
      </c>
      <c r="B229" s="11">
        <v>41935</v>
      </c>
      <c r="C229" s="12">
        <v>214.34</v>
      </c>
      <c r="D229" s="12">
        <v>16.34</v>
      </c>
      <c r="E229" s="15"/>
      <c r="F229" s="33">
        <v>64</v>
      </c>
      <c r="G229" s="34">
        <v>62.54</v>
      </c>
    </row>
    <row r="230" spans="1:7" x14ac:dyDescent="0.2">
      <c r="A230" s="10">
        <v>14876</v>
      </c>
      <c r="B230" s="11">
        <v>41936</v>
      </c>
      <c r="C230" s="12">
        <v>121.24</v>
      </c>
      <c r="D230" s="12">
        <v>9.24</v>
      </c>
      <c r="E230" s="15" t="s">
        <v>11</v>
      </c>
    </row>
    <row r="231" spans="1:7" x14ac:dyDescent="0.2">
      <c r="A231" s="10">
        <v>14877</v>
      </c>
      <c r="B231" s="11">
        <v>41936</v>
      </c>
      <c r="C231" s="12">
        <v>20.51</v>
      </c>
      <c r="D231" s="12">
        <v>1.56</v>
      </c>
      <c r="E231" s="17"/>
      <c r="F231" s="18"/>
      <c r="G231" s="19"/>
    </row>
    <row r="232" spans="1:7" x14ac:dyDescent="0.2">
      <c r="A232" s="10">
        <v>14878</v>
      </c>
      <c r="B232" s="11">
        <v>41936</v>
      </c>
      <c r="C232" s="12">
        <v>116</v>
      </c>
      <c r="D232" s="12"/>
      <c r="E232" s="26" t="s">
        <v>104</v>
      </c>
      <c r="F232" s="18"/>
      <c r="G232" s="19"/>
    </row>
    <row r="233" spans="1:7" x14ac:dyDescent="0.2">
      <c r="A233" s="10">
        <v>14879</v>
      </c>
      <c r="B233" s="11">
        <v>41936</v>
      </c>
      <c r="C233" s="12">
        <v>8.61</v>
      </c>
      <c r="D233" s="12">
        <v>0.66</v>
      </c>
      <c r="E233" s="17"/>
      <c r="F233" s="18"/>
      <c r="G233" s="19"/>
    </row>
    <row r="234" spans="1:7" x14ac:dyDescent="0.2">
      <c r="A234" s="10">
        <v>14880</v>
      </c>
      <c r="B234" s="11">
        <v>41936</v>
      </c>
      <c r="C234" s="12">
        <v>155.18</v>
      </c>
      <c r="D234" s="12">
        <v>11.83</v>
      </c>
      <c r="E234" s="15" t="s">
        <v>11</v>
      </c>
      <c r="F234" s="21"/>
      <c r="G234" s="22"/>
    </row>
    <row r="235" spans="1:7" x14ac:dyDescent="0.2">
      <c r="A235" s="10">
        <v>14881</v>
      </c>
      <c r="B235" s="11">
        <v>41936</v>
      </c>
      <c r="C235" s="12">
        <v>5.39</v>
      </c>
      <c r="D235" s="12">
        <v>0.41</v>
      </c>
      <c r="E235" s="17"/>
    </row>
    <row r="236" spans="1:7" x14ac:dyDescent="0.2">
      <c r="A236" s="10">
        <v>14882</v>
      </c>
      <c r="B236" s="11">
        <v>41936</v>
      </c>
      <c r="C236" s="12">
        <v>125.98</v>
      </c>
      <c r="D236" s="12">
        <v>9.98</v>
      </c>
      <c r="E236" s="15" t="s">
        <v>7</v>
      </c>
    </row>
    <row r="237" spans="1:7" x14ac:dyDescent="0.2">
      <c r="A237" s="10">
        <v>14883</v>
      </c>
      <c r="B237" s="11">
        <v>41936</v>
      </c>
      <c r="C237" s="12">
        <v>20</v>
      </c>
      <c r="D237" s="12"/>
      <c r="E237" s="13" t="s">
        <v>95</v>
      </c>
    </row>
    <row r="238" spans="1:7" x14ac:dyDescent="0.2">
      <c r="A238" s="10">
        <v>14884</v>
      </c>
      <c r="B238" s="11">
        <v>41936</v>
      </c>
      <c r="C238" s="12">
        <v>25</v>
      </c>
      <c r="D238" s="12">
        <v>1.91</v>
      </c>
      <c r="E238" s="17"/>
    </row>
    <row r="239" spans="1:7" x14ac:dyDescent="0.2">
      <c r="A239" s="10">
        <v>14885</v>
      </c>
      <c r="B239" s="11">
        <v>41936</v>
      </c>
      <c r="C239" s="12">
        <v>156.13999999999999</v>
      </c>
      <c r="D239" s="12">
        <v>11.14</v>
      </c>
      <c r="E239" s="15" t="s">
        <v>11</v>
      </c>
    </row>
    <row r="240" spans="1:7" x14ac:dyDescent="0.2">
      <c r="A240" s="10">
        <v>14886</v>
      </c>
      <c r="B240" s="11">
        <v>41936</v>
      </c>
      <c r="C240" s="12">
        <v>38.97</v>
      </c>
      <c r="D240" s="12">
        <v>2.97</v>
      </c>
      <c r="E240" s="15" t="s">
        <v>21</v>
      </c>
      <c r="F240" s="33">
        <f>+C230+C234+C236+C239+40</f>
        <v>598.54</v>
      </c>
      <c r="G240" s="34">
        <v>592.33000000000004</v>
      </c>
    </row>
    <row r="241" spans="1:7" x14ac:dyDescent="0.2">
      <c r="A241" s="10">
        <v>14887</v>
      </c>
      <c r="B241" s="11">
        <v>41937</v>
      </c>
      <c r="C241" s="12">
        <v>53.04</v>
      </c>
      <c r="D241" s="12">
        <v>4.04</v>
      </c>
      <c r="E241" s="15" t="s">
        <v>11</v>
      </c>
    </row>
    <row r="242" spans="1:7" x14ac:dyDescent="0.2">
      <c r="A242" s="10">
        <v>14888</v>
      </c>
      <c r="B242" s="11">
        <v>41937</v>
      </c>
      <c r="C242" s="12">
        <v>69</v>
      </c>
      <c r="D242" s="12"/>
      <c r="E242" s="13" t="s">
        <v>71</v>
      </c>
    </row>
    <row r="243" spans="1:7" x14ac:dyDescent="0.2">
      <c r="A243" s="10">
        <v>14889</v>
      </c>
      <c r="B243" s="11">
        <v>41937</v>
      </c>
      <c r="C243" s="12">
        <v>63</v>
      </c>
      <c r="D243" s="12"/>
      <c r="E243" s="13" t="s">
        <v>105</v>
      </c>
    </row>
    <row r="244" spans="1:7" x14ac:dyDescent="0.2">
      <c r="A244" s="10">
        <v>14890</v>
      </c>
      <c r="B244" s="11">
        <v>41937</v>
      </c>
      <c r="C244" s="12">
        <v>10.83</v>
      </c>
      <c r="D244" s="12">
        <v>0.83</v>
      </c>
      <c r="E244" s="17"/>
    </row>
    <row r="245" spans="1:7" x14ac:dyDescent="0.2">
      <c r="A245" s="10">
        <v>14891</v>
      </c>
      <c r="B245" s="11">
        <v>41937</v>
      </c>
      <c r="C245" s="12">
        <v>9.74</v>
      </c>
      <c r="D245" s="12">
        <v>0.74</v>
      </c>
      <c r="E245" s="15" t="s">
        <v>21</v>
      </c>
    </row>
    <row r="246" spans="1:7" x14ac:dyDescent="0.2">
      <c r="A246" s="10">
        <v>14892</v>
      </c>
      <c r="B246" s="11">
        <v>41937</v>
      </c>
      <c r="C246" s="12">
        <v>27.06</v>
      </c>
      <c r="D246" s="12">
        <v>2.06</v>
      </c>
      <c r="E246" s="17"/>
    </row>
    <row r="247" spans="1:7" ht="15" x14ac:dyDescent="0.25">
      <c r="A247" s="10">
        <v>14893</v>
      </c>
      <c r="B247" s="11">
        <v>41937</v>
      </c>
      <c r="C247" s="12">
        <v>198.63</v>
      </c>
      <c r="D247" s="12">
        <v>15.14</v>
      </c>
      <c r="E247" s="17"/>
      <c r="F247"/>
      <c r="G247"/>
    </row>
    <row r="248" spans="1:7" x14ac:dyDescent="0.2">
      <c r="A248" s="10">
        <v>14894</v>
      </c>
      <c r="B248" s="11">
        <v>41937</v>
      </c>
      <c r="C248" s="25">
        <v>84</v>
      </c>
      <c r="D248" s="4">
        <v>6.39</v>
      </c>
      <c r="E248" s="26"/>
      <c r="F248" s="45">
        <f>+C241</f>
        <v>53.04</v>
      </c>
      <c r="G248" s="34">
        <v>78.55</v>
      </c>
    </row>
    <row r="249" spans="1:7" x14ac:dyDescent="0.2">
      <c r="A249" s="10">
        <v>14895</v>
      </c>
      <c r="B249" s="11">
        <v>41939</v>
      </c>
      <c r="C249" s="25">
        <v>126.49</v>
      </c>
      <c r="D249" s="4">
        <v>9.64</v>
      </c>
      <c r="E249" s="26"/>
    </row>
    <row r="250" spans="1:7" x14ac:dyDescent="0.2">
      <c r="A250" s="10">
        <v>14896</v>
      </c>
      <c r="B250" s="11">
        <v>41939</v>
      </c>
      <c r="C250" s="25">
        <v>100</v>
      </c>
      <c r="D250" s="4">
        <v>0</v>
      </c>
      <c r="E250" s="26" t="s">
        <v>106</v>
      </c>
    </row>
    <row r="251" spans="1:7" x14ac:dyDescent="0.2">
      <c r="A251" s="10">
        <v>14897</v>
      </c>
      <c r="B251" s="11">
        <v>41939</v>
      </c>
      <c r="C251" s="12">
        <v>119.94</v>
      </c>
      <c r="D251" s="12">
        <v>9.14</v>
      </c>
      <c r="E251" s="17"/>
      <c r="F251" s="12"/>
      <c r="G251" s="12"/>
    </row>
    <row r="252" spans="1:7" x14ac:dyDescent="0.2">
      <c r="A252" s="10">
        <v>14898</v>
      </c>
      <c r="B252" s="11">
        <v>41939</v>
      </c>
      <c r="C252" s="12">
        <v>259.8</v>
      </c>
      <c r="D252" s="12">
        <v>19.8</v>
      </c>
      <c r="E252" s="15" t="s">
        <v>11</v>
      </c>
      <c r="F252" s="10"/>
      <c r="G252" s="10"/>
    </row>
    <row r="253" spans="1:7" x14ac:dyDescent="0.2">
      <c r="A253" s="10">
        <v>14899</v>
      </c>
      <c r="B253" s="11">
        <v>41939</v>
      </c>
      <c r="C253" s="12">
        <v>63</v>
      </c>
      <c r="D253" s="12">
        <v>4.8</v>
      </c>
      <c r="E253" s="17"/>
    </row>
    <row r="254" spans="1:7" x14ac:dyDescent="0.2">
      <c r="A254" s="10">
        <v>14900</v>
      </c>
      <c r="B254" s="11">
        <v>41939</v>
      </c>
      <c r="C254" s="12">
        <v>173.2</v>
      </c>
      <c r="D254" s="12">
        <v>13.2</v>
      </c>
      <c r="E254" s="15" t="s">
        <v>107</v>
      </c>
    </row>
    <row r="255" spans="1:7" x14ac:dyDescent="0.2">
      <c r="A255" s="10">
        <v>14901</v>
      </c>
      <c r="B255" s="11">
        <v>41939</v>
      </c>
      <c r="C255" s="12">
        <v>119.62</v>
      </c>
      <c r="D255" s="12">
        <v>9.1199999999999992</v>
      </c>
      <c r="E255" s="15" t="s">
        <v>108</v>
      </c>
    </row>
    <row r="256" spans="1:7" x14ac:dyDescent="0.2">
      <c r="A256" s="10">
        <v>14902</v>
      </c>
      <c r="B256" s="11">
        <v>41939</v>
      </c>
      <c r="C256" s="12">
        <v>416.76</v>
      </c>
      <c r="D256" s="12">
        <v>31.76</v>
      </c>
      <c r="E256" s="15"/>
    </row>
    <row r="257" spans="1:9" x14ac:dyDescent="0.2">
      <c r="A257" s="10">
        <v>14903</v>
      </c>
      <c r="B257" s="11">
        <v>41939</v>
      </c>
      <c r="C257" s="12">
        <v>287.95</v>
      </c>
      <c r="D257" s="12">
        <v>21.95</v>
      </c>
      <c r="E257" s="15" t="s">
        <v>11</v>
      </c>
      <c r="F257" s="33">
        <f>+C252+50+C257+108.64</f>
        <v>706.39</v>
      </c>
      <c r="G257" s="34">
        <v>700.52</v>
      </c>
    </row>
    <row r="258" spans="1:9" x14ac:dyDescent="0.2">
      <c r="A258" s="10">
        <v>14904</v>
      </c>
      <c r="B258" s="11">
        <v>41940</v>
      </c>
      <c r="C258" s="12">
        <v>35.18</v>
      </c>
      <c r="D258" s="12">
        <v>2.68</v>
      </c>
      <c r="E258" s="17"/>
    </row>
    <row r="259" spans="1:9" x14ac:dyDescent="0.2">
      <c r="A259" s="10">
        <v>14905</v>
      </c>
      <c r="B259" s="11">
        <v>41940</v>
      </c>
      <c r="C259" s="12">
        <v>33.99</v>
      </c>
      <c r="D259" s="12">
        <v>2.59</v>
      </c>
      <c r="E259" s="15" t="s">
        <v>11</v>
      </c>
      <c r="F259" s="21"/>
      <c r="G259" s="22"/>
    </row>
    <row r="260" spans="1:9" x14ac:dyDescent="0.2">
      <c r="A260" s="10">
        <v>14906</v>
      </c>
      <c r="B260" s="11">
        <v>41940</v>
      </c>
      <c r="C260" s="12">
        <v>272.79000000000002</v>
      </c>
      <c r="D260" s="12">
        <v>20.79</v>
      </c>
      <c r="E260" s="13"/>
      <c r="F260" s="18"/>
      <c r="G260" s="19"/>
    </row>
    <row r="261" spans="1:9" x14ac:dyDescent="0.2">
      <c r="A261" s="10">
        <v>14907</v>
      </c>
      <c r="B261" s="11">
        <v>41940</v>
      </c>
      <c r="C261" s="12">
        <v>34.21</v>
      </c>
      <c r="D261" s="12">
        <v>2.61</v>
      </c>
      <c r="E261" s="15"/>
    </row>
    <row r="262" spans="1:9" x14ac:dyDescent="0.2">
      <c r="A262" s="10">
        <v>14908</v>
      </c>
      <c r="B262" s="11">
        <v>41940</v>
      </c>
      <c r="C262" s="12">
        <v>25.93</v>
      </c>
      <c r="D262" s="12">
        <v>1.98</v>
      </c>
      <c r="E262" s="15" t="s">
        <v>11</v>
      </c>
    </row>
    <row r="263" spans="1:9" x14ac:dyDescent="0.2">
      <c r="A263" s="10">
        <v>14909</v>
      </c>
      <c r="B263" s="11">
        <v>41940</v>
      </c>
      <c r="C263" s="12">
        <v>345.99</v>
      </c>
      <c r="D263" s="12">
        <v>33.99</v>
      </c>
      <c r="E263" s="15" t="s">
        <v>109</v>
      </c>
    </row>
    <row r="264" spans="1:9" x14ac:dyDescent="0.2">
      <c r="A264" s="10">
        <v>14910</v>
      </c>
      <c r="B264" s="11">
        <v>41940</v>
      </c>
      <c r="C264" s="12">
        <v>20.57</v>
      </c>
      <c r="D264" s="12">
        <v>1.57</v>
      </c>
      <c r="E264" s="15" t="s">
        <v>11</v>
      </c>
    </row>
    <row r="265" spans="1:9" x14ac:dyDescent="0.2">
      <c r="A265" s="10">
        <v>14911</v>
      </c>
      <c r="B265" s="11">
        <v>41940</v>
      </c>
      <c r="C265" s="12">
        <v>19.54</v>
      </c>
      <c r="D265" s="12">
        <v>1.49</v>
      </c>
      <c r="E265" s="17"/>
      <c r="F265" s="33">
        <f>+C259+C262+C264</f>
        <v>80.490000000000009</v>
      </c>
      <c r="G265" s="34">
        <v>79.260000000000005</v>
      </c>
    </row>
    <row r="266" spans="1:9" x14ac:dyDescent="0.2">
      <c r="A266" s="4">
        <v>14912</v>
      </c>
      <c r="B266" s="11">
        <v>41941</v>
      </c>
      <c r="C266" s="25">
        <v>572.64</v>
      </c>
      <c r="D266" s="4">
        <v>43.64</v>
      </c>
      <c r="E266" s="26" t="s">
        <v>26</v>
      </c>
    </row>
    <row r="267" spans="1:9" x14ac:dyDescent="0.2">
      <c r="A267" s="10">
        <v>14913</v>
      </c>
      <c r="B267" s="11">
        <v>41941</v>
      </c>
      <c r="C267" s="12">
        <v>-21.65</v>
      </c>
      <c r="D267" s="12">
        <v>-1.65</v>
      </c>
      <c r="E267" s="17"/>
    </row>
    <row r="268" spans="1:9" x14ac:dyDescent="0.2">
      <c r="A268" s="10">
        <v>14914</v>
      </c>
      <c r="B268" s="11">
        <v>41941</v>
      </c>
      <c r="C268" s="12">
        <v>34.590000000000003</v>
      </c>
      <c r="D268" s="12">
        <v>2.64</v>
      </c>
      <c r="E268" s="17"/>
      <c r="H268" s="12"/>
    </row>
    <row r="269" spans="1:9" x14ac:dyDescent="0.2">
      <c r="A269" s="10">
        <v>14915</v>
      </c>
      <c r="B269" s="11">
        <v>41941</v>
      </c>
      <c r="C269" s="12">
        <v>870.33</v>
      </c>
      <c r="D269" s="12">
        <v>66.33</v>
      </c>
      <c r="E269" s="15" t="s">
        <v>11</v>
      </c>
      <c r="F269" s="21"/>
      <c r="G269" s="22"/>
      <c r="H269" s="10"/>
      <c r="I269" s="10"/>
    </row>
    <row r="270" spans="1:9" x14ac:dyDescent="0.2">
      <c r="A270" s="10">
        <v>14916</v>
      </c>
      <c r="B270" s="11">
        <v>41941</v>
      </c>
      <c r="C270" s="12">
        <v>19.489999999999998</v>
      </c>
      <c r="D270" s="12">
        <v>1.49</v>
      </c>
      <c r="E270" s="17"/>
      <c r="H270" s="12"/>
      <c r="I270" s="10"/>
    </row>
    <row r="271" spans="1:9" x14ac:dyDescent="0.2">
      <c r="A271" s="10">
        <v>14917</v>
      </c>
      <c r="B271" s="11">
        <v>41941</v>
      </c>
      <c r="C271" s="12">
        <v>181.86</v>
      </c>
      <c r="D271" s="12">
        <v>13.86</v>
      </c>
      <c r="E271" s="15" t="s">
        <v>11</v>
      </c>
      <c r="H271" s="10"/>
      <c r="I271" s="10"/>
    </row>
    <row r="272" spans="1:9" x14ac:dyDescent="0.2">
      <c r="A272" s="10">
        <v>14918</v>
      </c>
      <c r="B272" s="11">
        <v>41941</v>
      </c>
      <c r="C272" s="12">
        <v>352.35</v>
      </c>
      <c r="D272" s="12">
        <v>26.85</v>
      </c>
      <c r="E272" s="15" t="s">
        <v>11</v>
      </c>
      <c r="H272" s="10"/>
      <c r="I272" s="10"/>
    </row>
    <row r="273" spans="1:9" x14ac:dyDescent="0.2">
      <c r="A273" s="10">
        <v>14919</v>
      </c>
      <c r="B273" s="11">
        <v>41941</v>
      </c>
      <c r="C273" s="12">
        <v>285.77999999999997</v>
      </c>
      <c r="D273" s="12">
        <v>21.78</v>
      </c>
      <c r="E273" s="15" t="s">
        <v>7</v>
      </c>
      <c r="F273" s="33">
        <f>+C271+C273</f>
        <v>467.64</v>
      </c>
      <c r="G273" s="34">
        <v>461.16</v>
      </c>
      <c r="H273" s="10"/>
      <c r="I273" s="10"/>
    </row>
    <row r="274" spans="1:9" x14ac:dyDescent="0.2">
      <c r="A274" s="10">
        <v>14920</v>
      </c>
      <c r="B274" s="11">
        <v>41942</v>
      </c>
      <c r="C274" s="12">
        <v>65.489999999999995</v>
      </c>
      <c r="D274" s="12">
        <v>4.99</v>
      </c>
      <c r="E274" s="15" t="s">
        <v>11</v>
      </c>
      <c r="H274" s="10"/>
      <c r="I274" s="10"/>
    </row>
    <row r="275" spans="1:9" x14ac:dyDescent="0.2">
      <c r="A275" s="10">
        <v>14921</v>
      </c>
      <c r="B275" s="11">
        <v>41942</v>
      </c>
      <c r="C275" s="12">
        <v>42.22</v>
      </c>
      <c r="D275" s="12">
        <v>3.22</v>
      </c>
      <c r="E275" s="17"/>
      <c r="F275" s="18"/>
      <c r="G275" s="19"/>
      <c r="H275" s="12"/>
      <c r="I275" s="10"/>
    </row>
    <row r="276" spans="1:9" x14ac:dyDescent="0.2">
      <c r="A276" s="10">
        <v>14922</v>
      </c>
      <c r="B276" s="11">
        <v>41942</v>
      </c>
      <c r="C276" s="12">
        <v>277.66000000000003</v>
      </c>
      <c r="D276" s="12">
        <v>21.16</v>
      </c>
      <c r="E276" s="17"/>
      <c r="F276" s="18"/>
      <c r="G276" s="19"/>
      <c r="H276" s="12"/>
      <c r="I276" s="10"/>
    </row>
    <row r="277" spans="1:9" x14ac:dyDescent="0.2">
      <c r="A277" s="10">
        <v>14923</v>
      </c>
      <c r="B277" s="11">
        <v>41942</v>
      </c>
      <c r="C277" s="12">
        <v>90.52</v>
      </c>
      <c r="D277" s="12">
        <v>6.52</v>
      </c>
      <c r="E277" s="17"/>
      <c r="H277" s="12"/>
      <c r="I277" s="10"/>
    </row>
    <row r="278" spans="1:9" x14ac:dyDescent="0.2">
      <c r="A278" s="10">
        <v>14924</v>
      </c>
      <c r="B278" s="11">
        <v>41942</v>
      </c>
      <c r="C278" s="12">
        <v>17.27</v>
      </c>
      <c r="D278" s="12">
        <v>1.32</v>
      </c>
      <c r="E278" s="17"/>
      <c r="F278" s="18"/>
      <c r="G278" s="19"/>
      <c r="H278" s="12"/>
      <c r="I278" s="10"/>
    </row>
    <row r="279" spans="1:9" x14ac:dyDescent="0.2">
      <c r="A279" s="10">
        <v>14925</v>
      </c>
      <c r="B279" s="11">
        <v>41942</v>
      </c>
      <c r="C279" s="12">
        <v>103.87</v>
      </c>
      <c r="D279" s="12">
        <v>7.92</v>
      </c>
      <c r="E279" s="15" t="s">
        <v>11</v>
      </c>
      <c r="H279" s="10"/>
      <c r="I279" s="10"/>
    </row>
    <row r="280" spans="1:9" x14ac:dyDescent="0.2">
      <c r="A280" s="10">
        <v>14926</v>
      </c>
      <c r="B280" s="11">
        <v>41942</v>
      </c>
      <c r="C280" s="12">
        <v>20.57</v>
      </c>
      <c r="D280" s="12">
        <v>1.57</v>
      </c>
      <c r="E280" s="17"/>
      <c r="H280" s="12"/>
      <c r="I280" s="10"/>
    </row>
    <row r="281" spans="1:9" x14ac:dyDescent="0.2">
      <c r="A281" s="10">
        <v>14927</v>
      </c>
      <c r="B281" s="11">
        <v>41942</v>
      </c>
      <c r="C281" s="12">
        <v>182.94</v>
      </c>
      <c r="D281" s="12">
        <v>13.94</v>
      </c>
      <c r="E281" s="15" t="s">
        <v>110</v>
      </c>
      <c r="H281" s="10"/>
      <c r="I281" s="10"/>
    </row>
    <row r="282" spans="1:9" x14ac:dyDescent="0.2">
      <c r="A282" s="10">
        <v>14928</v>
      </c>
      <c r="B282" s="11">
        <v>41942</v>
      </c>
      <c r="C282" s="12">
        <v>126</v>
      </c>
      <c r="D282" s="12">
        <v>9.6</v>
      </c>
      <c r="E282" s="17"/>
      <c r="H282" s="12"/>
      <c r="I282" s="10"/>
    </row>
    <row r="283" spans="1:9" x14ac:dyDescent="0.2">
      <c r="A283" s="10">
        <v>14929</v>
      </c>
      <c r="B283" s="11">
        <v>41942</v>
      </c>
      <c r="C283" s="12">
        <v>16</v>
      </c>
      <c r="D283" s="12">
        <v>1.22</v>
      </c>
      <c r="E283" s="13" t="s">
        <v>111</v>
      </c>
      <c r="F283" s="33">
        <f>+C274+C279+C269+C272-5.41</f>
        <v>1386.6299999999999</v>
      </c>
      <c r="G283" s="34">
        <v>1362.99</v>
      </c>
      <c r="H283" s="12"/>
      <c r="I283" s="10"/>
    </row>
    <row r="284" spans="1:9" x14ac:dyDescent="0.2">
      <c r="A284" s="10">
        <v>14930</v>
      </c>
      <c r="B284" s="11">
        <v>41943</v>
      </c>
      <c r="C284" s="12">
        <v>15</v>
      </c>
      <c r="D284" s="12"/>
      <c r="E284" s="13" t="s">
        <v>71</v>
      </c>
      <c r="F284" s="18"/>
      <c r="G284" s="19"/>
    </row>
    <row r="285" spans="1:9" x14ac:dyDescent="0.2">
      <c r="A285" s="10">
        <v>14931</v>
      </c>
      <c r="B285" s="11">
        <v>41943</v>
      </c>
      <c r="C285" s="12">
        <v>7.52</v>
      </c>
      <c r="D285" s="12">
        <v>0.56999999999999995</v>
      </c>
      <c r="E285" s="17"/>
    </row>
    <row r="286" spans="1:9" x14ac:dyDescent="0.2">
      <c r="A286" s="10">
        <v>14932</v>
      </c>
      <c r="B286" s="11">
        <v>41943</v>
      </c>
      <c r="C286" s="12">
        <v>210.01</v>
      </c>
      <c r="D286" s="12">
        <v>16.010000000000002</v>
      </c>
      <c r="E286" s="15" t="s">
        <v>11</v>
      </c>
      <c r="F286" s="21"/>
      <c r="G286" s="22"/>
    </row>
    <row r="287" spans="1:9" x14ac:dyDescent="0.2">
      <c r="A287" s="10">
        <v>14933</v>
      </c>
      <c r="B287" s="11">
        <v>41943</v>
      </c>
      <c r="C287" s="12">
        <v>74.69</v>
      </c>
      <c r="D287" s="12">
        <v>5.69</v>
      </c>
      <c r="E287" s="15" t="s">
        <v>112</v>
      </c>
      <c r="F287" s="21"/>
      <c r="G287" s="22"/>
    </row>
    <row r="288" spans="1:9" x14ac:dyDescent="0.2">
      <c r="A288" s="10">
        <v>14934</v>
      </c>
      <c r="B288" s="11">
        <v>41943</v>
      </c>
      <c r="C288" s="12">
        <v>-42.22</v>
      </c>
      <c r="D288" s="12">
        <v>-3.22</v>
      </c>
      <c r="E288" s="13"/>
      <c r="F288" s="18"/>
      <c r="G288" s="19"/>
    </row>
    <row r="289" spans="1:12" x14ac:dyDescent="0.2">
      <c r="A289" s="10">
        <v>14935</v>
      </c>
      <c r="B289" s="11">
        <v>41943</v>
      </c>
      <c r="C289" s="12">
        <v>34.590000000000003</v>
      </c>
      <c r="D289" s="12">
        <v>2.64</v>
      </c>
      <c r="E289" s="15" t="s">
        <v>11</v>
      </c>
    </row>
    <row r="290" spans="1:12" x14ac:dyDescent="0.2">
      <c r="A290" s="10">
        <v>14936</v>
      </c>
      <c r="B290" s="11">
        <v>41943</v>
      </c>
      <c r="C290" s="12">
        <v>193.77</v>
      </c>
      <c r="D290" s="12">
        <v>14.77</v>
      </c>
      <c r="E290" s="15" t="s">
        <v>11</v>
      </c>
    </row>
    <row r="291" spans="1:12" x14ac:dyDescent="0.2">
      <c r="A291" s="10">
        <v>14937</v>
      </c>
      <c r="B291" s="11">
        <v>41943</v>
      </c>
      <c r="C291" s="12">
        <v>23.82</v>
      </c>
      <c r="D291" s="12">
        <v>1.82</v>
      </c>
      <c r="E291" s="17"/>
      <c r="F291" s="18"/>
      <c r="G291" s="19"/>
    </row>
    <row r="292" spans="1:12" x14ac:dyDescent="0.2">
      <c r="A292" s="10">
        <v>14938</v>
      </c>
      <c r="B292" s="11">
        <v>41943</v>
      </c>
      <c r="C292" s="12">
        <v>118.53</v>
      </c>
      <c r="D292" s="12">
        <v>9.0299999999999994</v>
      </c>
      <c r="E292" s="15" t="s">
        <v>11</v>
      </c>
    </row>
    <row r="293" spans="1:12" x14ac:dyDescent="0.2">
      <c r="A293" s="10">
        <v>14939</v>
      </c>
      <c r="B293" s="11">
        <v>41943</v>
      </c>
      <c r="C293" s="12">
        <v>3.19</v>
      </c>
      <c r="D293" s="12">
        <v>0.24</v>
      </c>
      <c r="E293" s="17"/>
      <c r="F293" s="18"/>
      <c r="G293" s="19"/>
    </row>
    <row r="294" spans="1:12" x14ac:dyDescent="0.2">
      <c r="A294" s="10">
        <v>14940</v>
      </c>
      <c r="B294" s="11">
        <v>41943</v>
      </c>
      <c r="C294" s="12">
        <v>18</v>
      </c>
      <c r="D294" s="12"/>
      <c r="E294" s="15" t="s">
        <v>7</v>
      </c>
    </row>
    <row r="295" spans="1:12" x14ac:dyDescent="0.2">
      <c r="A295" s="10">
        <v>14941</v>
      </c>
      <c r="B295" s="11">
        <v>41943</v>
      </c>
      <c r="C295" s="12">
        <v>423.26</v>
      </c>
      <c r="D295" s="12">
        <v>32.26</v>
      </c>
      <c r="E295" s="15" t="s">
        <v>11</v>
      </c>
      <c r="H295" s="10"/>
      <c r="I295" s="10"/>
    </row>
    <row r="296" spans="1:12" x14ac:dyDescent="0.2">
      <c r="A296" s="10">
        <v>14942</v>
      </c>
      <c r="B296" s="11">
        <v>41943</v>
      </c>
      <c r="C296" s="12">
        <v>55</v>
      </c>
      <c r="D296" s="12">
        <v>4.1900000000000004</v>
      </c>
      <c r="E296" s="17"/>
      <c r="F296" s="33">
        <f>150+C287+C289+C294+C290+C295+C292</f>
        <v>1012.8399999999999</v>
      </c>
      <c r="G296" s="34">
        <v>1003.86</v>
      </c>
    </row>
    <row r="297" spans="1:12" x14ac:dyDescent="0.2">
      <c r="E297" s="26"/>
      <c r="I297" s="5"/>
      <c r="J297" s="27"/>
      <c r="L297" s="28"/>
    </row>
    <row r="298" spans="1:12" x14ac:dyDescent="0.2">
      <c r="E298" s="26"/>
      <c r="I298" s="5"/>
      <c r="J298" s="27"/>
      <c r="L298" s="28"/>
    </row>
    <row r="299" spans="1:12" x14ac:dyDescent="0.2">
      <c r="E299" s="26"/>
      <c r="I299" s="5"/>
      <c r="J299" s="27"/>
      <c r="L299" s="28"/>
    </row>
    <row r="300" spans="1:12" x14ac:dyDescent="0.2">
      <c r="E300" s="26"/>
      <c r="I300" s="5"/>
      <c r="J300" s="27"/>
      <c r="L300" s="28"/>
    </row>
    <row r="301" spans="1:12" x14ac:dyDescent="0.2">
      <c r="E301" s="26"/>
      <c r="I301" s="5"/>
      <c r="J301" s="27"/>
      <c r="L301" s="28"/>
    </row>
    <row r="302" spans="1:12" x14ac:dyDescent="0.2">
      <c r="E302" s="26"/>
      <c r="I302" s="5"/>
      <c r="J302" s="27"/>
      <c r="L302" s="28"/>
    </row>
    <row r="303" spans="1:12" x14ac:dyDescent="0.2">
      <c r="E303" s="26"/>
      <c r="I303" s="5"/>
      <c r="J303" s="27"/>
      <c r="K303" s="27"/>
      <c r="L303" s="25"/>
    </row>
    <row r="304" spans="1:12" x14ac:dyDescent="0.2">
      <c r="E304" s="26"/>
      <c r="I304" s="5"/>
      <c r="J304" s="27"/>
      <c r="L304" s="28"/>
    </row>
    <row r="305" spans="5:12" x14ac:dyDescent="0.2">
      <c r="E305" s="26"/>
      <c r="I305" s="5"/>
      <c r="J305" s="27"/>
      <c r="L305" s="28"/>
    </row>
    <row r="306" spans="5:12" x14ac:dyDescent="0.2">
      <c r="E306" s="26"/>
      <c r="I306" s="5"/>
      <c r="J306" s="27"/>
      <c r="L306" s="28"/>
    </row>
    <row r="307" spans="5:12" x14ac:dyDescent="0.2">
      <c r="E307" s="26"/>
      <c r="I307" s="5"/>
      <c r="J307" s="27"/>
      <c r="L307" s="28"/>
    </row>
    <row r="308" spans="5:12" x14ac:dyDescent="0.2">
      <c r="E308" s="26"/>
      <c r="I308" s="5"/>
      <c r="J308" s="27"/>
      <c r="L308" s="28"/>
    </row>
    <row r="309" spans="5:12" x14ac:dyDescent="0.2">
      <c r="E309" s="26"/>
      <c r="I309" s="5"/>
      <c r="J309" s="27"/>
      <c r="L309" s="28"/>
    </row>
    <row r="310" spans="5:12" x14ac:dyDescent="0.2">
      <c r="E310" s="26"/>
      <c r="I310" s="5"/>
      <c r="J310" s="27"/>
      <c r="K310" s="27"/>
      <c r="L310" s="25"/>
    </row>
    <row r="311" spans="5:12" x14ac:dyDescent="0.2">
      <c r="E311" s="26"/>
    </row>
    <row r="312" spans="5:12" x14ac:dyDescent="0.2">
      <c r="E312" s="26"/>
    </row>
    <row r="313" spans="5:12" x14ac:dyDescent="0.2">
      <c r="E313" s="26"/>
    </row>
    <row r="314" spans="5:12" x14ac:dyDescent="0.2">
      <c r="E314" s="26"/>
    </row>
    <row r="315" spans="5:12" x14ac:dyDescent="0.2">
      <c r="E315" s="26"/>
    </row>
    <row r="316" spans="5:12" x14ac:dyDescent="0.2">
      <c r="E316" s="26"/>
    </row>
    <row r="317" spans="5:12" x14ac:dyDescent="0.2">
      <c r="E317" s="26"/>
    </row>
    <row r="318" spans="5:12" x14ac:dyDescent="0.2">
      <c r="E318" s="26"/>
    </row>
    <row r="319" spans="5:12" x14ac:dyDescent="0.2">
      <c r="E319" s="26"/>
    </row>
    <row r="320" spans="5:12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3128"/>
  <sheetViews>
    <sheetView topLeftCell="A191" workbookViewId="0">
      <selection activeCell="A237" sqref="A237"/>
    </sheetView>
  </sheetViews>
  <sheetFormatPr defaultColWidth="9.140625"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SUM(C113:C310)</f>
        <v>15630.797499999999</v>
      </c>
      <c r="D1" s="3">
        <f>SUM(D113:D310)</f>
        <v>955.75750000000028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14414</v>
      </c>
      <c r="B3" s="11">
        <v>41883</v>
      </c>
      <c r="C3" s="12">
        <v>12.61</v>
      </c>
      <c r="D3" s="12">
        <v>0.96</v>
      </c>
      <c r="E3" s="12"/>
      <c r="H3" s="12"/>
    </row>
    <row r="4" spans="1:10" x14ac:dyDescent="0.2">
      <c r="A4" s="10">
        <v>14415</v>
      </c>
      <c r="B4" s="11">
        <v>41883</v>
      </c>
      <c r="C4" s="12">
        <v>23.82</v>
      </c>
      <c r="D4" s="12">
        <v>1.82</v>
      </c>
      <c r="E4" s="12"/>
      <c r="H4" s="12"/>
    </row>
    <row r="5" spans="1:10" x14ac:dyDescent="0.2">
      <c r="A5" s="10">
        <v>14416</v>
      </c>
      <c r="B5" s="11">
        <v>41883</v>
      </c>
      <c r="C5" s="12">
        <v>159</v>
      </c>
      <c r="D5" s="12"/>
      <c r="E5" s="15" t="s">
        <v>82</v>
      </c>
      <c r="H5" s="10"/>
      <c r="I5" s="10"/>
    </row>
    <row r="6" spans="1:10" x14ac:dyDescent="0.2">
      <c r="A6" s="10">
        <v>14417</v>
      </c>
      <c r="B6" s="11">
        <v>41883</v>
      </c>
      <c r="C6" s="12">
        <v>48.71</v>
      </c>
      <c r="D6" s="12">
        <v>3.71</v>
      </c>
      <c r="E6" s="15" t="s">
        <v>11</v>
      </c>
      <c r="H6" s="10"/>
      <c r="I6" s="10"/>
    </row>
    <row r="7" spans="1:10" x14ac:dyDescent="0.2">
      <c r="A7" s="10">
        <v>14418</v>
      </c>
      <c r="B7" s="11">
        <v>41883</v>
      </c>
      <c r="C7" s="12">
        <v>18.350000000000001</v>
      </c>
      <c r="D7" s="12">
        <v>1.4</v>
      </c>
      <c r="E7" s="15" t="s">
        <v>11</v>
      </c>
      <c r="H7" s="10"/>
      <c r="I7" s="10"/>
    </row>
    <row r="8" spans="1:10" x14ac:dyDescent="0.2">
      <c r="A8" s="10">
        <v>14419</v>
      </c>
      <c r="B8" s="11">
        <v>41883</v>
      </c>
      <c r="C8" s="12">
        <v>10.83</v>
      </c>
      <c r="D8" s="12">
        <v>0.83</v>
      </c>
      <c r="E8" s="17"/>
      <c r="F8" s="33">
        <f>+C6+C7</f>
        <v>67.06</v>
      </c>
      <c r="G8" s="34">
        <v>65.53</v>
      </c>
      <c r="H8" s="12"/>
      <c r="I8" s="10"/>
    </row>
    <row r="9" spans="1:10" x14ac:dyDescent="0.2">
      <c r="A9" s="10">
        <v>14420</v>
      </c>
      <c r="B9" s="11">
        <v>41884</v>
      </c>
      <c r="C9" s="12">
        <v>148</v>
      </c>
      <c r="D9" s="12"/>
      <c r="E9" s="15" t="s">
        <v>82</v>
      </c>
      <c r="H9" s="10"/>
      <c r="I9" s="10"/>
    </row>
    <row r="10" spans="1:10" x14ac:dyDescent="0.2">
      <c r="A10" s="10">
        <v>14421</v>
      </c>
      <c r="B10" s="11">
        <v>41884</v>
      </c>
      <c r="C10" s="12">
        <v>12</v>
      </c>
      <c r="D10" s="12">
        <v>0.91</v>
      </c>
      <c r="E10" s="17"/>
      <c r="H10" s="12"/>
      <c r="I10" s="10"/>
    </row>
    <row r="11" spans="1:10" x14ac:dyDescent="0.2">
      <c r="A11" s="10">
        <v>14422</v>
      </c>
      <c r="B11" s="11">
        <v>41884</v>
      </c>
      <c r="C11" s="12">
        <v>75.78</v>
      </c>
      <c r="D11" s="12">
        <v>5.78</v>
      </c>
      <c r="E11" s="15" t="s">
        <v>11</v>
      </c>
      <c r="F11" s="21"/>
      <c r="G11" s="22"/>
      <c r="H11" s="10"/>
      <c r="I11" s="10"/>
    </row>
    <row r="12" spans="1:10" x14ac:dyDescent="0.2">
      <c r="A12" s="10">
        <v>14423</v>
      </c>
      <c r="B12" s="11">
        <v>41884</v>
      </c>
      <c r="C12" s="12">
        <v>11.85</v>
      </c>
      <c r="D12" s="12">
        <v>0.9</v>
      </c>
      <c r="E12" s="17"/>
      <c r="H12" s="12"/>
      <c r="I12" s="10"/>
    </row>
    <row r="13" spans="1:10" x14ac:dyDescent="0.2">
      <c r="A13" s="10">
        <v>14424</v>
      </c>
      <c r="B13" s="11">
        <v>41884</v>
      </c>
      <c r="C13" s="12">
        <v>155.88</v>
      </c>
      <c r="D13" s="12">
        <v>11.88</v>
      </c>
      <c r="E13" s="13" t="s">
        <v>113</v>
      </c>
      <c r="H13" s="12"/>
      <c r="I13" s="10"/>
    </row>
    <row r="14" spans="1:10" x14ac:dyDescent="0.2">
      <c r="A14" s="10">
        <v>14425</v>
      </c>
      <c r="B14" s="11">
        <v>41884</v>
      </c>
      <c r="C14" s="12">
        <v>397.28</v>
      </c>
      <c r="D14" s="12">
        <v>30.28</v>
      </c>
      <c r="E14" s="15" t="s">
        <v>11</v>
      </c>
      <c r="H14" s="10"/>
      <c r="I14" s="10"/>
    </row>
    <row r="15" spans="1:10" x14ac:dyDescent="0.2">
      <c r="A15" s="10">
        <v>14426</v>
      </c>
      <c r="B15" s="11">
        <v>41884</v>
      </c>
      <c r="C15" s="12">
        <v>32.26</v>
      </c>
      <c r="D15" s="12">
        <v>2.46</v>
      </c>
      <c r="E15" s="15" t="s">
        <v>11</v>
      </c>
      <c r="H15" s="10"/>
      <c r="I15" s="10"/>
    </row>
    <row r="16" spans="1:10" x14ac:dyDescent="0.2">
      <c r="A16" s="10">
        <v>14427</v>
      </c>
      <c r="B16" s="11">
        <v>41884</v>
      </c>
      <c r="C16" s="12">
        <v>584.54999999999995</v>
      </c>
      <c r="D16" s="12">
        <v>44.55</v>
      </c>
      <c r="E16" s="15" t="s">
        <v>11</v>
      </c>
      <c r="H16" s="10"/>
      <c r="I16" s="10"/>
    </row>
    <row r="17" spans="1:9" x14ac:dyDescent="0.2">
      <c r="A17" s="10">
        <v>14428</v>
      </c>
      <c r="B17" s="11">
        <v>41884</v>
      </c>
      <c r="C17" s="12">
        <v>199.83</v>
      </c>
      <c r="D17" s="12">
        <v>15.23</v>
      </c>
      <c r="E17" s="15" t="s">
        <v>11</v>
      </c>
      <c r="H17" s="10"/>
      <c r="I17" s="10"/>
    </row>
    <row r="18" spans="1:9" x14ac:dyDescent="0.2">
      <c r="A18" s="10">
        <v>14429</v>
      </c>
      <c r="B18" s="11">
        <v>41884</v>
      </c>
      <c r="C18" s="12">
        <v>81</v>
      </c>
      <c r="D18" s="12"/>
      <c r="E18" s="15" t="s">
        <v>82</v>
      </c>
      <c r="F18" s="33">
        <f>+C11+C14+C15+C16</f>
        <v>1089.8699999999999</v>
      </c>
      <c r="G18" s="34">
        <v>1078.05</v>
      </c>
      <c r="H18" s="10"/>
      <c r="I18" s="10"/>
    </row>
    <row r="19" spans="1:9" x14ac:dyDescent="0.2">
      <c r="A19" s="10">
        <v>14430</v>
      </c>
      <c r="B19" s="11">
        <v>41885</v>
      </c>
      <c r="C19" s="12">
        <v>354</v>
      </c>
      <c r="D19" s="12"/>
      <c r="E19" s="15" t="s">
        <v>82</v>
      </c>
      <c r="H19" s="10"/>
      <c r="I19" s="10"/>
    </row>
    <row r="20" spans="1:9" x14ac:dyDescent="0.2">
      <c r="A20" s="10">
        <v>14431</v>
      </c>
      <c r="B20" s="11">
        <v>41885</v>
      </c>
      <c r="C20" s="12">
        <v>184</v>
      </c>
      <c r="D20" s="12">
        <v>14</v>
      </c>
      <c r="E20" s="17"/>
      <c r="H20" s="12"/>
      <c r="I20" s="10"/>
    </row>
    <row r="21" spans="1:9" x14ac:dyDescent="0.2">
      <c r="A21" s="10">
        <v>14432</v>
      </c>
      <c r="B21" s="11">
        <v>41885</v>
      </c>
      <c r="C21" s="12">
        <v>277.12</v>
      </c>
      <c r="D21" s="12">
        <v>21.12</v>
      </c>
      <c r="E21" s="17"/>
      <c r="F21" s="18"/>
      <c r="G21" s="19"/>
      <c r="H21" s="12"/>
      <c r="I21" s="10"/>
    </row>
    <row r="22" spans="1:9" x14ac:dyDescent="0.2">
      <c r="A22" s="10">
        <v>14433</v>
      </c>
      <c r="B22" s="11">
        <v>41885</v>
      </c>
      <c r="C22" s="12">
        <v>5</v>
      </c>
      <c r="D22" s="12">
        <v>0.38</v>
      </c>
      <c r="E22" s="17"/>
      <c r="F22" s="33">
        <v>0</v>
      </c>
      <c r="G22" s="34">
        <f>+F22*0.97831</f>
        <v>0</v>
      </c>
      <c r="H22" s="12"/>
      <c r="I22" s="10"/>
    </row>
    <row r="23" spans="1:9" x14ac:dyDescent="0.2">
      <c r="A23" s="10">
        <v>14434</v>
      </c>
      <c r="B23" s="11">
        <v>41886</v>
      </c>
      <c r="C23" s="12">
        <v>126.65</v>
      </c>
      <c r="D23" s="12">
        <v>9.65</v>
      </c>
      <c r="E23" s="17"/>
      <c r="H23" s="12"/>
      <c r="I23" s="10"/>
    </row>
    <row r="24" spans="1:9" x14ac:dyDescent="0.2">
      <c r="A24" s="10">
        <v>14435</v>
      </c>
      <c r="B24" s="11">
        <v>41886</v>
      </c>
      <c r="C24" s="12">
        <v>346</v>
      </c>
      <c r="D24" s="12"/>
      <c r="E24" s="13" t="s">
        <v>77</v>
      </c>
      <c r="H24" s="12"/>
      <c r="I24" s="10"/>
    </row>
    <row r="25" spans="1:9" x14ac:dyDescent="0.2">
      <c r="A25" s="10">
        <v>14436</v>
      </c>
      <c r="B25" s="11">
        <v>41886</v>
      </c>
      <c r="C25" s="12">
        <v>7.58</v>
      </c>
      <c r="D25" s="12">
        <v>0.57999999999999996</v>
      </c>
      <c r="E25" s="17"/>
      <c r="H25" s="12"/>
      <c r="I25" s="10"/>
    </row>
    <row r="26" spans="1:9" x14ac:dyDescent="0.2">
      <c r="A26" s="10">
        <v>14437</v>
      </c>
      <c r="B26" s="11">
        <v>41886</v>
      </c>
      <c r="C26" s="12">
        <v>16.239999999999998</v>
      </c>
      <c r="D26" s="12">
        <v>1.24</v>
      </c>
      <c r="E26" s="15" t="s">
        <v>23</v>
      </c>
      <c r="F26" s="21"/>
      <c r="G26" s="22"/>
      <c r="H26" s="10"/>
      <c r="I26" s="10"/>
    </row>
    <row r="27" spans="1:9" x14ac:dyDescent="0.2">
      <c r="A27" s="10">
        <v>14438</v>
      </c>
      <c r="B27" s="11">
        <v>41886</v>
      </c>
      <c r="C27" s="12">
        <v>157.5</v>
      </c>
      <c r="D27" s="12">
        <v>12</v>
      </c>
      <c r="E27" s="15" t="s">
        <v>11</v>
      </c>
      <c r="H27" s="10"/>
      <c r="I27" s="10"/>
    </row>
    <row r="28" spans="1:9" x14ac:dyDescent="0.2">
      <c r="A28" s="10">
        <v>14439</v>
      </c>
      <c r="B28" s="11">
        <v>41886</v>
      </c>
      <c r="C28" s="12">
        <v>78</v>
      </c>
      <c r="D28" s="12"/>
      <c r="E28" s="13" t="s">
        <v>114</v>
      </c>
      <c r="H28" s="12"/>
      <c r="I28" s="10"/>
    </row>
    <row r="29" spans="1:9" x14ac:dyDescent="0.2">
      <c r="A29" s="10">
        <v>14440</v>
      </c>
      <c r="B29" s="11">
        <v>41886</v>
      </c>
      <c r="C29" s="12">
        <v>19.43</v>
      </c>
      <c r="D29" s="12">
        <v>1.48</v>
      </c>
      <c r="E29" s="17"/>
      <c r="F29" s="18"/>
      <c r="G29" s="19"/>
      <c r="H29" s="12"/>
      <c r="I29" s="10"/>
    </row>
    <row r="30" spans="1:9" x14ac:dyDescent="0.2">
      <c r="A30" s="10">
        <v>14441</v>
      </c>
      <c r="B30" s="11">
        <v>41886</v>
      </c>
      <c r="C30" s="12">
        <v>22.73</v>
      </c>
      <c r="D30" s="12">
        <v>1.73</v>
      </c>
      <c r="E30" s="17"/>
      <c r="F30" s="33">
        <f>+C26+80</f>
        <v>96.24</v>
      </c>
      <c r="G30" s="34">
        <v>95.27</v>
      </c>
      <c r="H30" s="12"/>
      <c r="I30" s="10"/>
    </row>
    <row r="31" spans="1:9" x14ac:dyDescent="0.2">
      <c r="A31" s="10">
        <v>14442</v>
      </c>
      <c r="B31" s="11">
        <v>41887</v>
      </c>
      <c r="C31" s="12">
        <v>35.67</v>
      </c>
      <c r="D31" s="12">
        <v>2.72</v>
      </c>
      <c r="E31" s="15" t="s">
        <v>11</v>
      </c>
      <c r="H31" s="10"/>
      <c r="I31" s="10"/>
    </row>
    <row r="32" spans="1:9" x14ac:dyDescent="0.2">
      <c r="A32" s="10">
        <v>14443</v>
      </c>
      <c r="B32" s="11">
        <v>41887</v>
      </c>
      <c r="C32" s="12">
        <v>62.62</v>
      </c>
      <c r="D32" s="12">
        <v>4.7699999999999996</v>
      </c>
      <c r="E32" s="15" t="s">
        <v>13</v>
      </c>
      <c r="H32" s="10"/>
      <c r="I32" s="10"/>
    </row>
    <row r="33" spans="1:9" x14ac:dyDescent="0.2">
      <c r="A33" s="10">
        <v>14444</v>
      </c>
      <c r="B33" s="11">
        <v>41887</v>
      </c>
      <c r="C33" s="12">
        <v>37.89</v>
      </c>
      <c r="D33" s="12">
        <v>2.89</v>
      </c>
      <c r="E33" s="15" t="s">
        <v>115</v>
      </c>
      <c r="F33" s="21"/>
      <c r="G33" s="22"/>
      <c r="H33" s="10"/>
      <c r="I33" s="10"/>
    </row>
    <row r="34" spans="1:9" x14ac:dyDescent="0.2">
      <c r="A34" s="10">
        <v>14445</v>
      </c>
      <c r="B34" s="11">
        <v>41887</v>
      </c>
      <c r="C34" s="12">
        <v>15.37</v>
      </c>
      <c r="D34" s="12">
        <v>1.17</v>
      </c>
      <c r="E34" s="15" t="s">
        <v>7</v>
      </c>
      <c r="F34" s="21"/>
      <c r="G34" s="22"/>
      <c r="H34" s="10"/>
      <c r="I34" s="10"/>
    </row>
    <row r="35" spans="1:9" x14ac:dyDescent="0.2">
      <c r="A35" s="10">
        <v>14446</v>
      </c>
      <c r="B35" s="11">
        <v>41887</v>
      </c>
      <c r="C35" s="12">
        <v>113</v>
      </c>
      <c r="D35" s="12"/>
      <c r="E35" s="13"/>
      <c r="F35" s="18"/>
      <c r="G35" s="19"/>
      <c r="H35" s="12"/>
      <c r="I35" s="10"/>
    </row>
    <row r="36" spans="1:9" x14ac:dyDescent="0.2">
      <c r="A36" s="10">
        <v>14447</v>
      </c>
      <c r="B36" s="11">
        <v>41887</v>
      </c>
      <c r="C36" s="12">
        <v>57.37</v>
      </c>
      <c r="D36" s="12">
        <v>4.37</v>
      </c>
      <c r="E36" s="15" t="s">
        <v>11</v>
      </c>
      <c r="F36" s="21"/>
      <c r="G36" s="22"/>
      <c r="H36" s="10"/>
      <c r="I36" s="10"/>
    </row>
    <row r="37" spans="1:9" x14ac:dyDescent="0.2">
      <c r="A37" s="10">
        <v>14448</v>
      </c>
      <c r="B37" s="11">
        <v>41887</v>
      </c>
      <c r="C37" s="12">
        <v>80</v>
      </c>
      <c r="D37" s="12"/>
      <c r="E37" s="17"/>
      <c r="H37" s="12"/>
      <c r="I37" s="10"/>
    </row>
    <row r="38" spans="1:9" x14ac:dyDescent="0.2">
      <c r="A38" s="10">
        <v>14449</v>
      </c>
      <c r="B38" s="11">
        <v>41887</v>
      </c>
      <c r="C38" s="12">
        <v>8.61</v>
      </c>
      <c r="D38" s="12">
        <v>0.66</v>
      </c>
      <c r="E38" s="17"/>
      <c r="H38" s="12"/>
      <c r="I38" s="10"/>
    </row>
    <row r="39" spans="1:9" x14ac:dyDescent="0.2">
      <c r="A39" s="10">
        <v>14450</v>
      </c>
      <c r="B39" s="11">
        <v>41887</v>
      </c>
      <c r="C39" s="12">
        <v>5.39</v>
      </c>
      <c r="D39" s="12">
        <v>0.41</v>
      </c>
      <c r="E39" s="17"/>
      <c r="H39" s="12"/>
      <c r="I39" s="10"/>
    </row>
    <row r="40" spans="1:9" x14ac:dyDescent="0.2">
      <c r="A40" s="10">
        <v>14451</v>
      </c>
      <c r="B40" s="11">
        <v>41887</v>
      </c>
      <c r="C40" s="12">
        <v>35</v>
      </c>
      <c r="D40" s="12"/>
      <c r="E40" s="17"/>
      <c r="F40" s="18"/>
      <c r="G40" s="19"/>
      <c r="H40" s="12"/>
      <c r="I40" s="10"/>
    </row>
    <row r="41" spans="1:9" x14ac:dyDescent="0.2">
      <c r="A41" s="10">
        <v>14452</v>
      </c>
      <c r="B41" s="11">
        <v>41887</v>
      </c>
      <c r="C41" s="12">
        <v>227.87</v>
      </c>
      <c r="D41" s="12">
        <v>17.37</v>
      </c>
      <c r="E41" s="17"/>
      <c r="H41" s="12"/>
      <c r="I41" s="10"/>
    </row>
    <row r="42" spans="1:9" x14ac:dyDescent="0.2">
      <c r="A42" s="10">
        <v>14453</v>
      </c>
      <c r="B42" s="11">
        <v>41887</v>
      </c>
      <c r="C42" s="12">
        <v>97.43</v>
      </c>
      <c r="D42" s="12">
        <v>7.43</v>
      </c>
      <c r="E42" s="15" t="s">
        <v>116</v>
      </c>
      <c r="F42" s="33">
        <f>+C31+C32+C34+C36+C17</f>
        <v>370.86</v>
      </c>
      <c r="G42" s="34">
        <v>365.27</v>
      </c>
      <c r="H42" s="10"/>
      <c r="I42" s="10"/>
    </row>
    <row r="43" spans="1:9" x14ac:dyDescent="0.2">
      <c r="A43" s="10">
        <v>14454</v>
      </c>
      <c r="B43" s="11">
        <v>41888</v>
      </c>
      <c r="C43" s="12">
        <v>155.87</v>
      </c>
      <c r="D43" s="12">
        <v>11.88</v>
      </c>
      <c r="E43" s="17"/>
      <c r="H43" s="12"/>
      <c r="I43" s="10"/>
    </row>
    <row r="44" spans="1:9" x14ac:dyDescent="0.2">
      <c r="A44" s="10">
        <v>14455</v>
      </c>
      <c r="B44" s="11">
        <v>41888</v>
      </c>
      <c r="C44" s="12">
        <v>356.33</v>
      </c>
      <c r="D44" s="12">
        <v>27.16</v>
      </c>
      <c r="E44" s="13" t="s">
        <v>117</v>
      </c>
      <c r="H44" s="12"/>
      <c r="I44" s="10"/>
    </row>
    <row r="45" spans="1:9" x14ac:dyDescent="0.2">
      <c r="A45" s="10">
        <v>14456</v>
      </c>
      <c r="B45" s="11">
        <v>41888</v>
      </c>
      <c r="C45" s="12">
        <v>23.82</v>
      </c>
      <c r="D45" s="12">
        <v>1.82</v>
      </c>
      <c r="E45" s="17"/>
      <c r="H45" s="12"/>
      <c r="I45" s="10"/>
    </row>
    <row r="46" spans="1:9" x14ac:dyDescent="0.2">
      <c r="A46" s="10">
        <v>14457</v>
      </c>
      <c r="B46" s="11">
        <v>41888</v>
      </c>
      <c r="C46" s="12">
        <v>8.61</v>
      </c>
      <c r="D46" s="12">
        <v>0.66</v>
      </c>
      <c r="E46" s="15" t="s">
        <v>11</v>
      </c>
      <c r="F46" s="21"/>
      <c r="G46" s="22"/>
      <c r="H46" s="10"/>
      <c r="I46" s="10"/>
    </row>
    <row r="47" spans="1:9" x14ac:dyDescent="0.2">
      <c r="A47" s="10">
        <v>14458</v>
      </c>
      <c r="B47" s="11">
        <v>41888</v>
      </c>
      <c r="C47" s="12">
        <v>200</v>
      </c>
      <c r="D47" s="12">
        <v>15.24</v>
      </c>
      <c r="E47" s="17"/>
      <c r="H47" s="12"/>
      <c r="I47" s="10"/>
    </row>
    <row r="48" spans="1:9" x14ac:dyDescent="0.2">
      <c r="A48" s="10">
        <v>14459</v>
      </c>
      <c r="B48" s="11">
        <v>41888</v>
      </c>
      <c r="C48" s="12">
        <v>11.85</v>
      </c>
      <c r="D48" s="12">
        <v>0.9</v>
      </c>
      <c r="E48" s="15" t="s">
        <v>11</v>
      </c>
      <c r="H48" s="10"/>
      <c r="I48" s="10"/>
    </row>
    <row r="49" spans="1:9" x14ac:dyDescent="0.2">
      <c r="A49" s="10">
        <v>14460</v>
      </c>
      <c r="B49" s="11">
        <v>41888</v>
      </c>
      <c r="C49" s="12">
        <v>99.59</v>
      </c>
      <c r="D49" s="12">
        <v>7.59</v>
      </c>
      <c r="E49" s="17"/>
      <c r="F49" s="18"/>
      <c r="G49" s="19"/>
      <c r="H49" s="12"/>
      <c r="I49" s="10"/>
    </row>
    <row r="50" spans="1:9" x14ac:dyDescent="0.2">
      <c r="A50" s="10">
        <v>14461</v>
      </c>
      <c r="B50" s="11">
        <v>41888</v>
      </c>
      <c r="C50" s="12">
        <v>8.61</v>
      </c>
      <c r="D50" s="12">
        <v>0.66</v>
      </c>
      <c r="E50" s="15" t="s">
        <v>112</v>
      </c>
      <c r="F50" s="21"/>
      <c r="G50" s="22"/>
      <c r="H50" s="10"/>
      <c r="I50" s="10"/>
    </row>
    <row r="51" spans="1:9" x14ac:dyDescent="0.2">
      <c r="A51" s="10">
        <v>14462</v>
      </c>
      <c r="B51" s="11">
        <v>41888</v>
      </c>
      <c r="C51" s="12">
        <v>38.700000000000003</v>
      </c>
      <c r="D51" s="12">
        <v>2.95</v>
      </c>
      <c r="E51" s="15" t="s">
        <v>13</v>
      </c>
      <c r="H51" s="10"/>
      <c r="I51" s="10"/>
    </row>
    <row r="52" spans="1:9" x14ac:dyDescent="0.2">
      <c r="A52" s="10">
        <v>14463</v>
      </c>
      <c r="B52" s="11">
        <v>41888</v>
      </c>
      <c r="C52" s="12">
        <v>27.06</v>
      </c>
      <c r="D52" s="12">
        <v>2.06</v>
      </c>
      <c r="E52" s="17"/>
      <c r="H52" s="12"/>
      <c r="I52" s="10"/>
    </row>
    <row r="53" spans="1:9" x14ac:dyDescent="0.2">
      <c r="A53" s="10">
        <v>14464</v>
      </c>
      <c r="B53" s="11">
        <v>41888</v>
      </c>
      <c r="C53" s="12">
        <v>274.41000000000003</v>
      </c>
      <c r="D53" s="12">
        <v>20.91</v>
      </c>
      <c r="E53" s="15"/>
      <c r="F53" s="33">
        <f>+C46+C48+C50+C51</f>
        <v>67.77000000000001</v>
      </c>
      <c r="G53" s="34">
        <v>65.72</v>
      </c>
      <c r="H53" s="10"/>
      <c r="I53" s="10"/>
    </row>
    <row r="54" spans="1:9" x14ac:dyDescent="0.2">
      <c r="A54" s="10">
        <v>14465</v>
      </c>
      <c r="B54" s="11">
        <v>41890</v>
      </c>
      <c r="C54" s="12">
        <v>19.32</v>
      </c>
      <c r="D54" s="12">
        <v>1.47</v>
      </c>
      <c r="E54" s="17"/>
      <c r="H54" s="12"/>
      <c r="I54" s="10"/>
    </row>
    <row r="55" spans="1:9" x14ac:dyDescent="0.2">
      <c r="A55" s="10">
        <v>14466</v>
      </c>
      <c r="B55" s="11">
        <v>41890</v>
      </c>
      <c r="C55" s="12">
        <v>218.67</v>
      </c>
      <c r="D55" s="12">
        <v>16.670000000000002</v>
      </c>
      <c r="E55" s="23"/>
      <c r="H55" s="10"/>
      <c r="I55" s="10"/>
    </row>
    <row r="56" spans="1:9" x14ac:dyDescent="0.2">
      <c r="A56" s="10">
        <v>14467</v>
      </c>
      <c r="B56" s="11">
        <v>41890</v>
      </c>
      <c r="C56" s="12">
        <v>25.98</v>
      </c>
      <c r="D56" s="12">
        <v>1.98</v>
      </c>
      <c r="E56" s="15" t="s">
        <v>7</v>
      </c>
      <c r="H56" s="10"/>
      <c r="I56" s="10"/>
    </row>
    <row r="57" spans="1:9" x14ac:dyDescent="0.2">
      <c r="A57" s="10">
        <v>14468</v>
      </c>
      <c r="B57" s="11">
        <v>41890</v>
      </c>
      <c r="C57" s="12">
        <v>457.74</v>
      </c>
      <c r="D57" s="12">
        <v>35.229999999999997</v>
      </c>
      <c r="E57" s="15" t="s">
        <v>21</v>
      </c>
      <c r="H57" s="10"/>
      <c r="I57" s="10"/>
    </row>
    <row r="58" spans="1:9" x14ac:dyDescent="0.2">
      <c r="A58" s="10">
        <v>14469</v>
      </c>
      <c r="B58" s="11">
        <v>41890</v>
      </c>
      <c r="C58" s="12">
        <v>28</v>
      </c>
      <c r="D58" s="12"/>
      <c r="E58" s="15" t="s">
        <v>16</v>
      </c>
      <c r="H58" s="10"/>
      <c r="I58" s="10"/>
    </row>
    <row r="59" spans="1:9" x14ac:dyDescent="0.2">
      <c r="A59" s="10">
        <v>14470</v>
      </c>
      <c r="B59" s="11">
        <v>41890</v>
      </c>
      <c r="C59" s="12">
        <v>302.02</v>
      </c>
      <c r="D59" s="12">
        <v>23.02</v>
      </c>
      <c r="E59" s="15" t="s">
        <v>21</v>
      </c>
      <c r="H59" s="10"/>
      <c r="I59" s="10"/>
    </row>
    <row r="60" spans="1:9" x14ac:dyDescent="0.2">
      <c r="A60" s="10">
        <v>14471</v>
      </c>
      <c r="B60" s="11">
        <v>41890</v>
      </c>
      <c r="C60" s="12">
        <v>10.83</v>
      </c>
      <c r="D60" s="12">
        <v>0.83</v>
      </c>
      <c r="E60" s="15" t="s">
        <v>11</v>
      </c>
      <c r="H60" s="10"/>
      <c r="I60" s="10"/>
    </row>
    <row r="61" spans="1:9" x14ac:dyDescent="0.2">
      <c r="A61" s="10">
        <v>14472</v>
      </c>
      <c r="B61" s="11">
        <v>41890</v>
      </c>
      <c r="C61" s="12">
        <v>154.36000000000001</v>
      </c>
      <c r="D61" s="12">
        <v>11.76</v>
      </c>
      <c r="E61" s="15" t="s">
        <v>7</v>
      </c>
      <c r="F61" s="33">
        <f>+C56+C60+C61</f>
        <v>191.17000000000002</v>
      </c>
      <c r="G61" s="34">
        <v>187.9</v>
      </c>
      <c r="H61" s="10"/>
      <c r="I61" s="10"/>
    </row>
    <row r="62" spans="1:9" x14ac:dyDescent="0.2">
      <c r="A62" s="10">
        <v>14473</v>
      </c>
      <c r="B62" s="11">
        <v>41891</v>
      </c>
      <c r="C62" s="12">
        <v>40.97</v>
      </c>
      <c r="D62" s="12">
        <v>3.12</v>
      </c>
      <c r="E62" s="15" t="s">
        <v>11</v>
      </c>
      <c r="H62" s="10"/>
      <c r="I62" s="10"/>
    </row>
    <row r="63" spans="1:9" x14ac:dyDescent="0.2">
      <c r="A63" s="10">
        <v>14474</v>
      </c>
      <c r="B63" s="11">
        <v>41891</v>
      </c>
      <c r="C63" s="12">
        <v>-8.61</v>
      </c>
      <c r="D63" s="12">
        <v>-0.66</v>
      </c>
      <c r="E63" s="13" t="s">
        <v>86</v>
      </c>
      <c r="H63" s="12"/>
      <c r="I63" s="10"/>
    </row>
    <row r="64" spans="1:9" x14ac:dyDescent="0.2">
      <c r="A64" s="10">
        <v>14475</v>
      </c>
      <c r="B64" s="11">
        <v>41891</v>
      </c>
      <c r="C64" s="12">
        <v>21.65</v>
      </c>
      <c r="D64" s="12">
        <v>1.65</v>
      </c>
      <c r="E64" s="17"/>
      <c r="F64" s="18"/>
      <c r="G64" s="19"/>
      <c r="H64" s="12"/>
      <c r="I64" s="10"/>
    </row>
    <row r="65" spans="1:9" x14ac:dyDescent="0.2">
      <c r="A65" s="10">
        <v>14476</v>
      </c>
      <c r="B65" s="11">
        <v>41891</v>
      </c>
      <c r="C65" s="12">
        <v>100</v>
      </c>
      <c r="D65" s="12"/>
      <c r="E65" s="15" t="s">
        <v>39</v>
      </c>
      <c r="H65" s="10"/>
      <c r="I65" s="10"/>
    </row>
    <row r="66" spans="1:9" x14ac:dyDescent="0.2">
      <c r="A66" s="10">
        <v>14477</v>
      </c>
      <c r="B66" s="11">
        <v>41891</v>
      </c>
      <c r="C66" s="12">
        <v>49.86</v>
      </c>
      <c r="D66" s="12">
        <v>3.8</v>
      </c>
      <c r="E66" s="17"/>
      <c r="F66" s="18"/>
      <c r="G66" s="19"/>
      <c r="H66" s="12"/>
      <c r="I66" s="10"/>
    </row>
    <row r="67" spans="1:9" x14ac:dyDescent="0.2">
      <c r="A67" s="10">
        <v>14478</v>
      </c>
      <c r="B67" s="11">
        <v>41891</v>
      </c>
      <c r="C67" s="12">
        <v>15</v>
      </c>
      <c r="D67" s="12">
        <v>1.1399999999999999</v>
      </c>
      <c r="E67" s="17"/>
      <c r="F67" s="18"/>
      <c r="G67" s="19"/>
      <c r="H67" s="12"/>
      <c r="I67" s="10"/>
    </row>
    <row r="68" spans="1:9" x14ac:dyDescent="0.2">
      <c r="A68" s="10">
        <v>14479</v>
      </c>
      <c r="B68" s="11">
        <v>41891</v>
      </c>
      <c r="C68" s="12">
        <v>67.12</v>
      </c>
      <c r="D68" s="12">
        <v>5.12</v>
      </c>
      <c r="E68" s="15" t="s">
        <v>11</v>
      </c>
      <c r="H68" s="10"/>
      <c r="I68" s="10"/>
    </row>
    <row r="69" spans="1:9" x14ac:dyDescent="0.2">
      <c r="A69" s="10">
        <v>14480</v>
      </c>
      <c r="B69" s="11">
        <v>41891</v>
      </c>
      <c r="C69" s="12">
        <v>15</v>
      </c>
      <c r="D69" s="12">
        <v>1.1399999999999999</v>
      </c>
      <c r="E69" s="17"/>
      <c r="F69" s="18"/>
      <c r="G69" s="19"/>
      <c r="H69" s="12"/>
      <c r="I69" s="10"/>
    </row>
    <row r="70" spans="1:9" x14ac:dyDescent="0.2">
      <c r="A70" s="10">
        <v>14481</v>
      </c>
      <c r="B70" s="11">
        <v>41891</v>
      </c>
      <c r="C70" s="12">
        <v>155.88</v>
      </c>
      <c r="D70" s="12">
        <v>11.88</v>
      </c>
      <c r="E70" s="15"/>
      <c r="H70" s="10"/>
      <c r="I70" s="10"/>
    </row>
    <row r="71" spans="1:9" x14ac:dyDescent="0.2">
      <c r="A71" s="10">
        <v>14482</v>
      </c>
      <c r="B71" s="11">
        <v>41891</v>
      </c>
      <c r="C71" s="12">
        <v>64.790000000000006</v>
      </c>
      <c r="D71" s="12">
        <v>4.9400000000000004</v>
      </c>
      <c r="E71" s="15" t="s">
        <v>11</v>
      </c>
      <c r="F71" s="33">
        <f>+C62+37.89+C68+C71</f>
        <v>210.77000000000004</v>
      </c>
      <c r="G71" s="34">
        <v>208</v>
      </c>
      <c r="H71" s="10"/>
      <c r="I71" s="10"/>
    </row>
    <row r="72" spans="1:9" x14ac:dyDescent="0.2">
      <c r="A72" s="10">
        <v>14483</v>
      </c>
      <c r="B72" s="11">
        <v>41892</v>
      </c>
      <c r="C72" s="12">
        <v>40</v>
      </c>
      <c r="D72" s="12">
        <v>3.05</v>
      </c>
      <c r="E72" s="17"/>
      <c r="H72" s="12"/>
      <c r="I72" s="10"/>
    </row>
    <row r="73" spans="1:9" x14ac:dyDescent="0.2">
      <c r="A73" s="10">
        <v>14484</v>
      </c>
      <c r="B73" s="11">
        <v>41892</v>
      </c>
      <c r="C73" s="12">
        <v>372</v>
      </c>
      <c r="D73" s="12"/>
      <c r="E73" s="15" t="s">
        <v>39</v>
      </c>
      <c r="H73" s="10"/>
      <c r="I73" s="10"/>
    </row>
    <row r="74" spans="1:9" x14ac:dyDescent="0.2">
      <c r="A74" s="10">
        <v>14485</v>
      </c>
      <c r="B74" s="11">
        <v>41892</v>
      </c>
      <c r="C74" s="12">
        <v>4.33</v>
      </c>
      <c r="D74" s="12">
        <v>0.33</v>
      </c>
      <c r="E74" s="15" t="s">
        <v>21</v>
      </c>
      <c r="H74" s="10"/>
      <c r="I74" s="10"/>
    </row>
    <row r="75" spans="1:9" x14ac:dyDescent="0.2">
      <c r="A75" s="10">
        <v>14486</v>
      </c>
      <c r="B75" s="11">
        <v>41892</v>
      </c>
      <c r="C75" s="12">
        <v>38.700000000000003</v>
      </c>
      <c r="D75" s="12">
        <v>2.95</v>
      </c>
      <c r="E75" s="17"/>
      <c r="H75" s="12"/>
      <c r="I75" s="10"/>
    </row>
    <row r="76" spans="1:9" x14ac:dyDescent="0.2">
      <c r="A76" s="10">
        <v>14487</v>
      </c>
      <c r="B76" s="11">
        <v>41892</v>
      </c>
      <c r="C76" s="12">
        <v>120.05</v>
      </c>
      <c r="D76" s="12">
        <v>9.15</v>
      </c>
      <c r="E76" s="15" t="s">
        <v>7</v>
      </c>
      <c r="F76" s="21"/>
      <c r="G76" s="22"/>
      <c r="H76" s="10"/>
      <c r="I76" s="10"/>
    </row>
    <row r="77" spans="1:9" x14ac:dyDescent="0.2">
      <c r="A77" s="10">
        <v>14488</v>
      </c>
      <c r="B77" s="11">
        <v>41892</v>
      </c>
      <c r="C77" s="12">
        <v>372</v>
      </c>
      <c r="D77" s="12"/>
      <c r="E77" s="15" t="s">
        <v>82</v>
      </c>
      <c r="H77" s="10"/>
      <c r="I77" s="10"/>
    </row>
    <row r="78" spans="1:9" x14ac:dyDescent="0.2">
      <c r="A78" s="10">
        <v>14489</v>
      </c>
      <c r="B78" s="11">
        <v>41892</v>
      </c>
      <c r="C78" s="12">
        <v>13</v>
      </c>
      <c r="D78" s="12"/>
      <c r="E78" s="15" t="s">
        <v>11</v>
      </c>
      <c r="F78" s="21"/>
      <c r="G78" s="22"/>
      <c r="H78" s="10"/>
      <c r="I78" s="10"/>
    </row>
    <row r="79" spans="1:9" x14ac:dyDescent="0.2">
      <c r="A79" s="10">
        <v>14490</v>
      </c>
      <c r="B79" s="11">
        <v>41892</v>
      </c>
      <c r="C79" s="12">
        <v>238.15</v>
      </c>
      <c r="D79" s="12">
        <v>18.149999999999999</v>
      </c>
      <c r="E79" s="15" t="s">
        <v>11</v>
      </c>
      <c r="F79" s="21"/>
      <c r="G79" s="22"/>
      <c r="H79" s="10"/>
      <c r="I79" s="10"/>
    </row>
    <row r="80" spans="1:9" x14ac:dyDescent="0.2">
      <c r="A80" s="10">
        <v>14491</v>
      </c>
      <c r="B80" s="11">
        <v>41892</v>
      </c>
      <c r="C80" s="12">
        <v>12</v>
      </c>
      <c r="D80" s="12"/>
      <c r="E80" s="13" t="s">
        <v>69</v>
      </c>
      <c r="H80" s="12"/>
      <c r="I80" s="10"/>
    </row>
    <row r="81" spans="1:9" x14ac:dyDescent="0.2">
      <c r="A81" s="10">
        <v>14492</v>
      </c>
      <c r="B81" s="11">
        <v>41892</v>
      </c>
      <c r="C81" s="12">
        <v>133.15</v>
      </c>
      <c r="D81" s="12">
        <v>10.15</v>
      </c>
      <c r="E81" s="15" t="s">
        <v>11</v>
      </c>
      <c r="H81" s="10"/>
      <c r="I81" s="10"/>
    </row>
    <row r="82" spans="1:9" x14ac:dyDescent="0.2">
      <c r="A82" s="10">
        <v>14493</v>
      </c>
      <c r="B82" s="11">
        <v>41892</v>
      </c>
      <c r="C82" s="12">
        <v>16.399999999999999</v>
      </c>
      <c r="D82" s="12">
        <v>1.25</v>
      </c>
      <c r="E82" s="15" t="s">
        <v>7</v>
      </c>
      <c r="F82" s="33">
        <f>77.5+C76+C78+C79+C81+C82+24</f>
        <v>622.25</v>
      </c>
      <c r="G82" s="34">
        <v>613.12</v>
      </c>
      <c r="H82" s="10"/>
      <c r="I82" s="10"/>
    </row>
    <row r="83" spans="1:9" x14ac:dyDescent="0.2">
      <c r="A83" s="10">
        <v>14494</v>
      </c>
      <c r="B83" s="11">
        <v>41893</v>
      </c>
      <c r="C83" s="12">
        <v>19.37</v>
      </c>
      <c r="D83" s="12">
        <v>1.48</v>
      </c>
      <c r="E83" s="15" t="s">
        <v>61</v>
      </c>
      <c r="H83" s="10"/>
      <c r="I83" s="10"/>
    </row>
    <row r="84" spans="1:9" x14ac:dyDescent="0.2">
      <c r="A84" s="10">
        <v>14495</v>
      </c>
      <c r="B84" s="11">
        <v>41893</v>
      </c>
      <c r="C84" s="12">
        <v>32.479999999999997</v>
      </c>
      <c r="D84" s="12">
        <v>2.48</v>
      </c>
      <c r="E84" s="17"/>
      <c r="H84" s="12"/>
      <c r="I84" s="10"/>
    </row>
    <row r="85" spans="1:9" x14ac:dyDescent="0.2">
      <c r="A85" s="10">
        <v>14496</v>
      </c>
      <c r="B85" s="11">
        <v>41893</v>
      </c>
      <c r="C85" s="12">
        <v>12</v>
      </c>
      <c r="D85" s="12"/>
      <c r="E85" s="13" t="s">
        <v>69</v>
      </c>
      <c r="H85" s="12"/>
      <c r="I85" s="10"/>
    </row>
    <row r="86" spans="1:9" x14ac:dyDescent="0.2">
      <c r="A86" s="10">
        <v>14497</v>
      </c>
      <c r="B86" s="11">
        <v>41893</v>
      </c>
      <c r="C86" s="12">
        <v>35.72</v>
      </c>
      <c r="D86" s="12">
        <v>2.72</v>
      </c>
      <c r="F86" s="18"/>
      <c r="G86" s="19"/>
      <c r="H86" s="12"/>
      <c r="I86" s="10"/>
    </row>
    <row r="87" spans="1:9" x14ac:dyDescent="0.2">
      <c r="A87" s="10">
        <v>14498</v>
      </c>
      <c r="B87" s="11">
        <v>41893</v>
      </c>
      <c r="C87" s="12">
        <v>22</v>
      </c>
      <c r="D87" s="12"/>
      <c r="E87" s="13" t="s">
        <v>69</v>
      </c>
      <c r="H87" s="12"/>
      <c r="I87" s="10"/>
    </row>
    <row r="88" spans="1:9" x14ac:dyDescent="0.2">
      <c r="A88" s="10">
        <v>14499</v>
      </c>
      <c r="B88" s="11">
        <v>41893</v>
      </c>
      <c r="C88" s="12"/>
      <c r="D88" s="12"/>
      <c r="E88" s="15" t="s">
        <v>118</v>
      </c>
      <c r="H88" s="10"/>
      <c r="I88" s="10"/>
    </row>
    <row r="89" spans="1:9" x14ac:dyDescent="0.2">
      <c r="A89" s="10">
        <v>14500</v>
      </c>
      <c r="B89" s="11">
        <v>41893</v>
      </c>
      <c r="C89" s="12">
        <v>23.82</v>
      </c>
      <c r="D89" s="12">
        <v>1.82</v>
      </c>
      <c r="E89" s="15" t="s">
        <v>11</v>
      </c>
      <c r="H89" s="10"/>
      <c r="I89" s="10"/>
    </row>
    <row r="90" spans="1:9" x14ac:dyDescent="0.2">
      <c r="A90" s="10">
        <v>14501</v>
      </c>
      <c r="B90" s="11">
        <v>41893</v>
      </c>
      <c r="C90" s="12">
        <v>82.27</v>
      </c>
      <c r="D90" s="12">
        <v>6.27</v>
      </c>
      <c r="E90" s="15" t="s">
        <v>21</v>
      </c>
      <c r="F90" s="21"/>
      <c r="G90" s="22"/>
      <c r="H90" s="10"/>
      <c r="I90" s="10"/>
    </row>
    <row r="91" spans="1:9" x14ac:dyDescent="0.2">
      <c r="A91" s="10">
        <v>14502</v>
      </c>
      <c r="B91" s="11">
        <v>41893</v>
      </c>
      <c r="C91" s="12">
        <v>17.32</v>
      </c>
      <c r="D91" s="12">
        <v>1.32</v>
      </c>
      <c r="E91" s="15" t="s">
        <v>7</v>
      </c>
      <c r="F91" s="21"/>
      <c r="G91" s="22"/>
      <c r="H91" s="10"/>
      <c r="I91" s="10"/>
    </row>
    <row r="92" spans="1:9" x14ac:dyDescent="0.2">
      <c r="A92" s="10">
        <v>14503</v>
      </c>
      <c r="B92" s="11">
        <v>41893</v>
      </c>
      <c r="C92" s="12">
        <v>12.94</v>
      </c>
      <c r="D92" s="12">
        <v>0.99</v>
      </c>
      <c r="E92" s="15" t="s">
        <v>11</v>
      </c>
      <c r="F92" s="21"/>
      <c r="G92" s="22"/>
      <c r="H92" s="10"/>
      <c r="I92" s="10"/>
    </row>
    <row r="93" spans="1:9" x14ac:dyDescent="0.2">
      <c r="A93" s="10">
        <v>14504</v>
      </c>
      <c r="B93" s="11">
        <v>41893</v>
      </c>
      <c r="C93" s="12">
        <v>98.51</v>
      </c>
      <c r="D93" s="12">
        <v>7.51</v>
      </c>
      <c r="E93" s="13" t="s">
        <v>119</v>
      </c>
      <c r="H93" s="12"/>
      <c r="I93" s="10"/>
    </row>
    <row r="94" spans="1:9" x14ac:dyDescent="0.2">
      <c r="A94" s="10">
        <v>14505</v>
      </c>
      <c r="B94" s="11">
        <v>41893</v>
      </c>
      <c r="C94" s="12">
        <v>384.29</v>
      </c>
      <c r="D94" s="12">
        <v>29.29</v>
      </c>
      <c r="E94" s="13" t="s">
        <v>120</v>
      </c>
      <c r="H94" s="12"/>
      <c r="I94" s="10"/>
    </row>
    <row r="95" spans="1:9" x14ac:dyDescent="0.2">
      <c r="A95" s="10">
        <v>14506</v>
      </c>
      <c r="B95" s="11">
        <v>41893</v>
      </c>
      <c r="C95" s="12">
        <v>20</v>
      </c>
      <c r="D95" s="12"/>
      <c r="E95" s="15" t="s">
        <v>10</v>
      </c>
      <c r="H95" s="10"/>
      <c r="I95" s="10"/>
    </row>
    <row r="96" spans="1:9" x14ac:dyDescent="0.2">
      <c r="A96" s="10">
        <v>14507</v>
      </c>
      <c r="B96" s="11">
        <v>41893</v>
      </c>
      <c r="C96" s="12">
        <v>562</v>
      </c>
      <c r="D96" s="12"/>
      <c r="E96" s="15" t="s">
        <v>82</v>
      </c>
      <c r="F96" s="33">
        <v>109.24</v>
      </c>
      <c r="G96" s="34">
        <v>106.7</v>
      </c>
      <c r="H96" s="10"/>
      <c r="I96" s="10"/>
    </row>
    <row r="97" spans="1:9" x14ac:dyDescent="0.2">
      <c r="A97" s="10">
        <v>14508</v>
      </c>
      <c r="B97" s="11">
        <v>41894</v>
      </c>
      <c r="C97" s="12">
        <v>58</v>
      </c>
      <c r="D97" s="12"/>
      <c r="E97" s="13" t="s">
        <v>77</v>
      </c>
      <c r="H97" s="12"/>
      <c r="I97" s="10"/>
    </row>
    <row r="98" spans="1:9" x14ac:dyDescent="0.2">
      <c r="A98" s="10">
        <v>14509</v>
      </c>
      <c r="B98" s="11">
        <v>41894</v>
      </c>
      <c r="C98" s="12">
        <v>120</v>
      </c>
      <c r="D98" s="12">
        <v>9.15</v>
      </c>
      <c r="E98" s="17"/>
      <c r="F98" s="18"/>
      <c r="G98" s="19"/>
      <c r="H98" s="12"/>
      <c r="I98" s="10"/>
    </row>
    <row r="99" spans="1:9" x14ac:dyDescent="0.2">
      <c r="A99" s="10">
        <v>14510</v>
      </c>
      <c r="B99" s="11">
        <v>41894</v>
      </c>
      <c r="C99" s="12">
        <v>10.83</v>
      </c>
      <c r="D99" s="12">
        <v>0.83</v>
      </c>
      <c r="E99" s="17"/>
      <c r="F99" s="18"/>
      <c r="G99" s="19"/>
      <c r="H99" s="12"/>
      <c r="I99" s="10"/>
    </row>
    <row r="100" spans="1:9" x14ac:dyDescent="0.2">
      <c r="A100" s="10">
        <v>14511</v>
      </c>
      <c r="B100" s="11">
        <v>41894</v>
      </c>
      <c r="C100" s="12">
        <v>34.04</v>
      </c>
      <c r="D100" s="12">
        <v>2.59</v>
      </c>
      <c r="E100" s="17"/>
      <c r="H100" s="12"/>
      <c r="I100" s="10"/>
    </row>
    <row r="101" spans="1:9" x14ac:dyDescent="0.2">
      <c r="A101" s="10">
        <v>14512</v>
      </c>
      <c r="B101" s="11">
        <v>41894</v>
      </c>
      <c r="C101" s="12">
        <v>83.3</v>
      </c>
      <c r="D101" s="12">
        <v>6.35</v>
      </c>
      <c r="E101" s="15"/>
      <c r="H101" s="10"/>
      <c r="I101" s="10"/>
    </row>
    <row r="102" spans="1:9" x14ac:dyDescent="0.2">
      <c r="A102" s="10">
        <v>14513</v>
      </c>
      <c r="B102" s="11">
        <v>41894</v>
      </c>
      <c r="C102" s="12">
        <v>27.06</v>
      </c>
      <c r="D102" s="12">
        <v>2.06</v>
      </c>
      <c r="E102" s="15" t="s">
        <v>11</v>
      </c>
      <c r="H102" s="10"/>
      <c r="I102" s="10"/>
    </row>
    <row r="103" spans="1:9" x14ac:dyDescent="0.2">
      <c r="A103" s="10">
        <v>14514</v>
      </c>
      <c r="B103" s="11">
        <v>41894</v>
      </c>
      <c r="C103" s="12">
        <v>46.22</v>
      </c>
      <c r="D103" s="12">
        <v>3.52</v>
      </c>
      <c r="E103" s="15" t="s">
        <v>11</v>
      </c>
      <c r="F103" s="33">
        <f>+C103+C102+108.24</f>
        <v>181.51999999999998</v>
      </c>
      <c r="G103" s="34">
        <v>179.94</v>
      </c>
      <c r="H103" s="10"/>
      <c r="I103" s="10"/>
    </row>
    <row r="104" spans="1:9" x14ac:dyDescent="0.2">
      <c r="A104" s="10">
        <v>14515</v>
      </c>
      <c r="B104" s="11">
        <v>41895</v>
      </c>
      <c r="C104" s="12">
        <v>59.54</v>
      </c>
      <c r="D104" s="12">
        <v>4.54</v>
      </c>
      <c r="E104" s="17"/>
      <c r="F104" s="18"/>
      <c r="G104" s="19"/>
      <c r="H104" s="12"/>
      <c r="I104" s="10"/>
    </row>
    <row r="105" spans="1:9" x14ac:dyDescent="0.2">
      <c r="A105" s="10">
        <v>14516</v>
      </c>
      <c r="B105" s="11">
        <v>41895</v>
      </c>
      <c r="C105" s="12">
        <v>173.74</v>
      </c>
      <c r="D105" s="12">
        <v>13.24</v>
      </c>
      <c r="E105" s="15" t="s">
        <v>11</v>
      </c>
      <c r="F105" s="21"/>
      <c r="G105" s="22"/>
      <c r="H105" s="10"/>
      <c r="I105" s="10"/>
    </row>
    <row r="106" spans="1:9" x14ac:dyDescent="0.2">
      <c r="A106" s="10">
        <v>14517</v>
      </c>
      <c r="B106" s="11">
        <v>41895</v>
      </c>
      <c r="C106" s="12">
        <v>1.08</v>
      </c>
      <c r="D106" s="12">
        <v>0.08</v>
      </c>
      <c r="E106" s="13"/>
      <c r="F106" s="18"/>
      <c r="G106" s="19"/>
      <c r="H106" s="12"/>
      <c r="I106" s="10"/>
    </row>
    <row r="107" spans="1:9" x14ac:dyDescent="0.2">
      <c r="A107" s="10">
        <v>14518</v>
      </c>
      <c r="B107" s="11">
        <v>41895</v>
      </c>
      <c r="C107" s="12">
        <v>10.83</v>
      </c>
      <c r="D107" s="12">
        <v>0.83</v>
      </c>
      <c r="E107" s="13"/>
      <c r="F107" s="18"/>
      <c r="G107" s="19"/>
      <c r="H107" s="12"/>
      <c r="I107" s="10"/>
    </row>
    <row r="108" spans="1:9" x14ac:dyDescent="0.2">
      <c r="A108" s="10">
        <v>14519</v>
      </c>
      <c r="B108" s="11">
        <v>41895</v>
      </c>
      <c r="C108" s="12">
        <v>296.61</v>
      </c>
      <c r="D108" s="12">
        <v>22.61</v>
      </c>
      <c r="E108" s="13"/>
      <c r="F108" s="18"/>
      <c r="G108" s="19"/>
      <c r="H108" s="12"/>
      <c r="I108" s="10"/>
    </row>
    <row r="109" spans="1:9" x14ac:dyDescent="0.2">
      <c r="A109" s="10">
        <v>14520</v>
      </c>
      <c r="B109" s="11">
        <v>41895</v>
      </c>
      <c r="C109" s="12">
        <v>119.08</v>
      </c>
      <c r="D109" s="12">
        <v>9.08</v>
      </c>
      <c r="E109" s="15" t="s">
        <v>11</v>
      </c>
      <c r="F109" s="21"/>
      <c r="G109" s="22"/>
      <c r="H109" s="10"/>
      <c r="I109" s="10"/>
    </row>
    <row r="110" spans="1:9" x14ac:dyDescent="0.2">
      <c r="A110" s="10">
        <v>14521</v>
      </c>
      <c r="B110" s="11">
        <v>41895</v>
      </c>
      <c r="C110" s="12">
        <v>167.25</v>
      </c>
      <c r="D110" s="12">
        <v>12.75</v>
      </c>
      <c r="E110" s="13"/>
      <c r="F110" s="18"/>
      <c r="G110" s="19"/>
      <c r="H110" s="12"/>
      <c r="I110" s="10"/>
    </row>
    <row r="111" spans="1:9" x14ac:dyDescent="0.2">
      <c r="A111" s="10">
        <v>14522</v>
      </c>
      <c r="B111" s="11">
        <v>41895</v>
      </c>
      <c r="C111" s="12">
        <v>10.83</v>
      </c>
      <c r="D111" s="12">
        <v>0.83</v>
      </c>
      <c r="E111" s="15" t="s">
        <v>11</v>
      </c>
      <c r="F111" s="33">
        <v>303.64999999999998</v>
      </c>
      <c r="G111" s="34">
        <v>300.63</v>
      </c>
      <c r="H111" s="10"/>
      <c r="I111" s="10"/>
    </row>
    <row r="112" spans="1:9" s="8" customFormat="1" x14ac:dyDescent="0.2">
      <c r="A112" s="10">
        <v>14523</v>
      </c>
      <c r="B112" s="11">
        <v>41897</v>
      </c>
      <c r="C112" s="2">
        <v>25.98</v>
      </c>
      <c r="D112" s="2">
        <v>1.98</v>
      </c>
      <c r="E112" s="41" t="s">
        <v>11</v>
      </c>
      <c r="H112" s="9"/>
    </row>
    <row r="113" spans="1:13" x14ac:dyDescent="0.2">
      <c r="A113" s="10">
        <v>14524</v>
      </c>
      <c r="B113" s="11">
        <v>41897</v>
      </c>
      <c r="C113" s="25">
        <v>182</v>
      </c>
      <c r="D113" s="25">
        <v>13.87</v>
      </c>
      <c r="E113" s="26" t="s">
        <v>11</v>
      </c>
      <c r="F113" s="46"/>
      <c r="H113" s="10"/>
      <c r="I113" s="5"/>
      <c r="J113" s="27"/>
      <c r="L113" s="28"/>
      <c r="M113" s="25"/>
    </row>
    <row r="114" spans="1:13" x14ac:dyDescent="0.2">
      <c r="A114" s="10">
        <v>14525</v>
      </c>
      <c r="B114" s="11">
        <v>41897</v>
      </c>
      <c r="C114" s="25">
        <v>20</v>
      </c>
      <c r="D114" s="25">
        <v>1.52</v>
      </c>
      <c r="E114" s="26"/>
      <c r="H114" s="12"/>
      <c r="I114" s="5"/>
      <c r="J114" s="27"/>
      <c r="L114" s="28"/>
      <c r="M114" s="25"/>
    </row>
    <row r="115" spans="1:13" x14ac:dyDescent="0.2">
      <c r="A115" s="10">
        <v>14526</v>
      </c>
      <c r="B115" s="11">
        <v>41897</v>
      </c>
      <c r="C115" s="25">
        <v>22.29</v>
      </c>
      <c r="D115" s="25">
        <v>1.7</v>
      </c>
      <c r="E115" s="26"/>
      <c r="H115" s="12"/>
      <c r="I115" s="5"/>
      <c r="J115" s="27"/>
      <c r="L115" s="28"/>
      <c r="M115" s="25"/>
    </row>
    <row r="116" spans="1:13" x14ac:dyDescent="0.2">
      <c r="A116" s="10">
        <v>14527</v>
      </c>
      <c r="B116" s="11">
        <v>41897</v>
      </c>
      <c r="C116" s="25">
        <v>5.41</v>
      </c>
      <c r="D116" s="25">
        <v>0.41</v>
      </c>
      <c r="E116" s="26" t="s">
        <v>11</v>
      </c>
      <c r="H116" s="10"/>
      <c r="I116" s="5"/>
      <c r="J116" s="27"/>
      <c r="L116" s="28"/>
      <c r="M116" s="25"/>
    </row>
    <row r="117" spans="1:13" x14ac:dyDescent="0.2">
      <c r="A117" s="10">
        <v>14528</v>
      </c>
      <c r="B117" s="11">
        <v>41897</v>
      </c>
      <c r="C117" s="25">
        <v>31</v>
      </c>
      <c r="D117" s="25"/>
      <c r="E117" s="26" t="s">
        <v>121</v>
      </c>
      <c r="H117" s="10"/>
      <c r="I117" s="5"/>
      <c r="J117" s="27"/>
      <c r="L117" s="28"/>
      <c r="M117" s="25"/>
    </row>
    <row r="118" spans="1:13" x14ac:dyDescent="0.2">
      <c r="A118" s="10">
        <v>14529</v>
      </c>
      <c r="B118" s="11">
        <v>41897</v>
      </c>
      <c r="C118" s="25">
        <v>17.27</v>
      </c>
      <c r="D118" s="25">
        <v>1.32</v>
      </c>
      <c r="E118" s="26" t="s">
        <v>11</v>
      </c>
      <c r="H118" s="12"/>
      <c r="I118" s="5"/>
      <c r="J118" s="27"/>
      <c r="L118" s="28"/>
      <c r="M118" s="42"/>
    </row>
    <row r="119" spans="1:13" x14ac:dyDescent="0.2">
      <c r="A119" s="10">
        <v>14530</v>
      </c>
      <c r="B119" s="11">
        <v>41897</v>
      </c>
      <c r="C119" s="25">
        <v>257.08999999999997</v>
      </c>
      <c r="D119" s="25">
        <v>19.59</v>
      </c>
      <c r="E119" s="26" t="s">
        <v>11</v>
      </c>
      <c r="F119" s="33">
        <v>487.75</v>
      </c>
      <c r="G119" s="34">
        <v>482.42</v>
      </c>
      <c r="H119" s="12"/>
      <c r="I119" s="5"/>
      <c r="J119" s="27"/>
      <c r="K119" s="27"/>
      <c r="L119" s="25"/>
      <c r="M119" s="43"/>
    </row>
    <row r="120" spans="1:13" x14ac:dyDescent="0.2">
      <c r="A120" s="10">
        <v>14531</v>
      </c>
      <c r="B120" s="11">
        <v>41898</v>
      </c>
      <c r="C120" s="25">
        <v>194.85</v>
      </c>
      <c r="D120" s="25">
        <v>14.85</v>
      </c>
      <c r="E120" s="26"/>
      <c r="H120" s="10"/>
      <c r="I120" s="5"/>
      <c r="J120" s="27"/>
      <c r="L120" s="28"/>
      <c r="M120" s="25"/>
    </row>
    <row r="121" spans="1:13" x14ac:dyDescent="0.2">
      <c r="A121" s="10">
        <v>14532</v>
      </c>
      <c r="B121" s="11">
        <v>41898</v>
      </c>
      <c r="C121" s="25">
        <v>395.11</v>
      </c>
      <c r="D121" s="25">
        <v>30.11</v>
      </c>
      <c r="E121" s="26"/>
      <c r="H121" s="12"/>
      <c r="I121" s="5"/>
      <c r="J121" s="27"/>
      <c r="L121" s="28"/>
      <c r="M121" s="25"/>
    </row>
    <row r="122" spans="1:13" x14ac:dyDescent="0.2">
      <c r="A122" s="10">
        <v>14533</v>
      </c>
      <c r="B122" s="11">
        <v>41898</v>
      </c>
      <c r="C122" s="25">
        <v>27.06</v>
      </c>
      <c r="D122" s="25">
        <v>2.06</v>
      </c>
      <c r="E122" s="26"/>
      <c r="H122" s="12"/>
      <c r="I122" s="5"/>
      <c r="J122" s="27"/>
      <c r="L122" s="28"/>
      <c r="M122" s="25"/>
    </row>
    <row r="123" spans="1:13" x14ac:dyDescent="0.2">
      <c r="A123" s="10">
        <v>14534</v>
      </c>
      <c r="B123" s="11">
        <v>41898</v>
      </c>
      <c r="C123" s="25">
        <v>82.27</v>
      </c>
      <c r="D123" s="25">
        <v>6.27</v>
      </c>
      <c r="E123" s="26" t="s">
        <v>11</v>
      </c>
      <c r="H123" s="12"/>
      <c r="I123" s="5"/>
      <c r="J123" s="27"/>
      <c r="L123" s="28"/>
      <c r="M123" s="44"/>
    </row>
    <row r="124" spans="1:13" x14ac:dyDescent="0.2">
      <c r="A124" s="10">
        <v>14535</v>
      </c>
      <c r="B124" s="11">
        <v>41898</v>
      </c>
      <c r="C124" s="25">
        <v>21.6</v>
      </c>
      <c r="D124" s="25">
        <v>1.65</v>
      </c>
      <c r="E124" s="26"/>
      <c r="H124" s="12"/>
      <c r="I124" s="5"/>
      <c r="J124" s="27"/>
      <c r="L124" s="28"/>
      <c r="M124" s="25"/>
    </row>
    <row r="125" spans="1:13" x14ac:dyDescent="0.2">
      <c r="A125" s="10">
        <v>14536</v>
      </c>
      <c r="B125" s="11">
        <v>41898</v>
      </c>
      <c r="C125" s="25">
        <v>68</v>
      </c>
      <c r="D125" s="25"/>
      <c r="E125" s="26" t="s">
        <v>122</v>
      </c>
      <c r="H125" s="12"/>
      <c r="I125" s="5"/>
      <c r="J125" s="27"/>
      <c r="L125" s="28"/>
      <c r="M125" s="3"/>
    </row>
    <row r="126" spans="1:13" x14ac:dyDescent="0.2">
      <c r="A126" s="10">
        <v>14537</v>
      </c>
      <c r="B126" s="11">
        <v>41898</v>
      </c>
      <c r="C126" s="25">
        <v>113.52</v>
      </c>
      <c r="D126" s="25"/>
      <c r="E126" s="26" t="s">
        <v>8</v>
      </c>
      <c r="H126" s="12"/>
      <c r="I126" s="5"/>
      <c r="J126" s="27"/>
      <c r="K126" s="27"/>
      <c r="L126" s="25"/>
    </row>
    <row r="127" spans="1:13" x14ac:dyDescent="0.2">
      <c r="A127" s="10">
        <v>14538</v>
      </c>
      <c r="B127" s="11">
        <v>41898</v>
      </c>
      <c r="C127" s="25">
        <v>164.54</v>
      </c>
      <c r="D127" s="25">
        <v>12.54</v>
      </c>
      <c r="E127" s="26" t="s">
        <v>11</v>
      </c>
    </row>
    <row r="128" spans="1:13" x14ac:dyDescent="0.2">
      <c r="A128" s="10">
        <v>14539</v>
      </c>
      <c r="B128" s="11">
        <v>41898</v>
      </c>
      <c r="C128" s="25">
        <v>27.28</v>
      </c>
      <c r="D128" s="25">
        <v>2.08</v>
      </c>
      <c r="E128" s="26" t="s">
        <v>7</v>
      </c>
    </row>
    <row r="129" spans="1:7" x14ac:dyDescent="0.2">
      <c r="A129" s="10">
        <v>14540</v>
      </c>
      <c r="B129" s="11">
        <v>41898</v>
      </c>
      <c r="C129" s="25">
        <v>239.23</v>
      </c>
      <c r="D129" s="25">
        <v>18.23</v>
      </c>
      <c r="E129" s="26" t="s">
        <v>21</v>
      </c>
    </row>
    <row r="130" spans="1:7" x14ac:dyDescent="0.2">
      <c r="A130" s="10">
        <v>14541</v>
      </c>
      <c r="B130" s="11">
        <v>41898</v>
      </c>
      <c r="C130" s="25">
        <v>20.72</v>
      </c>
      <c r="D130" s="25"/>
      <c r="E130" s="26" t="s">
        <v>8</v>
      </c>
      <c r="F130" s="33">
        <v>937.2</v>
      </c>
      <c r="G130" s="34">
        <v>922.33</v>
      </c>
    </row>
    <row r="131" spans="1:7" x14ac:dyDescent="0.2">
      <c r="A131" s="10">
        <v>14542</v>
      </c>
      <c r="B131" s="11">
        <v>41899</v>
      </c>
      <c r="C131" s="25">
        <v>297.14999999999998</v>
      </c>
      <c r="D131" s="25">
        <v>22.65</v>
      </c>
      <c r="E131" s="26" t="s">
        <v>11</v>
      </c>
    </row>
    <row r="132" spans="1:7" x14ac:dyDescent="0.2">
      <c r="A132" s="10">
        <v>14543</v>
      </c>
      <c r="B132" s="11">
        <v>41899</v>
      </c>
      <c r="C132" s="25">
        <v>29.95</v>
      </c>
      <c r="D132" s="25"/>
      <c r="E132" s="26" t="s">
        <v>123</v>
      </c>
    </row>
    <row r="133" spans="1:7" x14ac:dyDescent="0.2">
      <c r="A133" s="10">
        <v>14544</v>
      </c>
      <c r="B133" s="11">
        <v>41899</v>
      </c>
      <c r="C133" s="25">
        <v>32.479999999999997</v>
      </c>
      <c r="D133" s="25">
        <v>2.48</v>
      </c>
      <c r="E133" s="26"/>
    </row>
    <row r="134" spans="1:7" x14ac:dyDescent="0.2">
      <c r="A134" s="10">
        <v>14545</v>
      </c>
      <c r="B134" s="11">
        <v>41899</v>
      </c>
      <c r="C134" s="25">
        <v>248.43</v>
      </c>
      <c r="D134" s="25">
        <v>18.93</v>
      </c>
      <c r="E134" s="26" t="s">
        <v>11</v>
      </c>
    </row>
    <row r="135" spans="1:7" x14ac:dyDescent="0.2">
      <c r="A135" s="10">
        <v>14546</v>
      </c>
      <c r="B135" s="11">
        <v>41899</v>
      </c>
      <c r="C135" s="25">
        <v>22.68</v>
      </c>
      <c r="D135" s="25">
        <v>1.73</v>
      </c>
      <c r="E135" s="26"/>
    </row>
    <row r="136" spans="1:7" x14ac:dyDescent="0.2">
      <c r="A136" s="10">
        <v>14547</v>
      </c>
      <c r="B136" s="11">
        <v>41899</v>
      </c>
      <c r="C136" s="25">
        <v>3.79</v>
      </c>
      <c r="D136" s="25">
        <v>0.28999999999999998</v>
      </c>
      <c r="E136" s="26"/>
    </row>
    <row r="137" spans="1:7" x14ac:dyDescent="0.2">
      <c r="A137" s="10">
        <v>14548</v>
      </c>
      <c r="B137" s="11">
        <v>41899</v>
      </c>
      <c r="C137" s="25">
        <v>116.91</v>
      </c>
      <c r="D137" s="25">
        <v>8.91</v>
      </c>
      <c r="E137" s="26" t="s">
        <v>124</v>
      </c>
    </row>
    <row r="138" spans="1:7" x14ac:dyDescent="0.2">
      <c r="A138" s="10">
        <v>14549</v>
      </c>
      <c r="B138" s="11">
        <v>41899</v>
      </c>
      <c r="C138" s="25">
        <v>36.81</v>
      </c>
      <c r="D138" s="25">
        <v>2.81</v>
      </c>
      <c r="E138" s="26"/>
      <c r="F138" s="33">
        <v>398.43</v>
      </c>
      <c r="G138" s="34">
        <v>396.44</v>
      </c>
    </row>
    <row r="139" spans="1:7" x14ac:dyDescent="0.2">
      <c r="A139" s="10">
        <v>14550</v>
      </c>
      <c r="B139" s="11">
        <v>41900</v>
      </c>
      <c r="C139" s="25">
        <v>193.77</v>
      </c>
      <c r="D139" s="25">
        <v>14.77</v>
      </c>
      <c r="E139" s="26"/>
    </row>
    <row r="140" spans="1:7" x14ac:dyDescent="0.2">
      <c r="A140" s="10">
        <v>14551</v>
      </c>
      <c r="B140" s="11">
        <v>41900</v>
      </c>
      <c r="C140" s="25">
        <v>145</v>
      </c>
      <c r="D140" s="25"/>
      <c r="E140" s="26" t="s">
        <v>53</v>
      </c>
    </row>
    <row r="141" spans="1:7" x14ac:dyDescent="0.2">
      <c r="A141" s="10">
        <v>14552</v>
      </c>
      <c r="B141" s="11">
        <v>41900</v>
      </c>
      <c r="C141" s="25">
        <v>17.27</v>
      </c>
      <c r="D141" s="25">
        <v>1.32</v>
      </c>
      <c r="E141" s="26" t="s">
        <v>11</v>
      </c>
    </row>
    <row r="142" spans="1:7" x14ac:dyDescent="0.2">
      <c r="A142" s="10">
        <v>14553</v>
      </c>
      <c r="B142" s="11">
        <v>41900</v>
      </c>
      <c r="C142" s="25">
        <v>32.26</v>
      </c>
      <c r="D142" s="25">
        <v>2.46</v>
      </c>
      <c r="E142" s="26"/>
    </row>
    <row r="143" spans="1:7" x14ac:dyDescent="0.2">
      <c r="A143" s="10">
        <v>14554</v>
      </c>
      <c r="B143" s="11">
        <v>41900</v>
      </c>
      <c r="C143" s="25">
        <v>64.95</v>
      </c>
      <c r="D143" s="25">
        <v>4.95</v>
      </c>
      <c r="E143" s="26" t="s">
        <v>11</v>
      </c>
    </row>
    <row r="144" spans="1:7" x14ac:dyDescent="0.2">
      <c r="A144" s="10">
        <v>14555</v>
      </c>
      <c r="B144" s="11">
        <v>41900</v>
      </c>
      <c r="C144" s="25">
        <v>20.51</v>
      </c>
      <c r="D144" s="25">
        <v>1.56</v>
      </c>
      <c r="E144" s="26"/>
    </row>
    <row r="145" spans="1:7" x14ac:dyDescent="0.2">
      <c r="A145" s="10">
        <v>14556</v>
      </c>
      <c r="B145" s="11">
        <v>41900</v>
      </c>
      <c r="C145" s="25">
        <v>25.5</v>
      </c>
      <c r="D145" s="25"/>
      <c r="E145" s="26" t="s">
        <v>17</v>
      </c>
    </row>
    <row r="146" spans="1:7" x14ac:dyDescent="0.2">
      <c r="A146" s="10">
        <v>14557</v>
      </c>
      <c r="B146" s="11">
        <v>41900</v>
      </c>
      <c r="C146" s="25">
        <v>25.5</v>
      </c>
      <c r="D146" s="25"/>
      <c r="E146" s="26" t="s">
        <v>17</v>
      </c>
    </row>
    <row r="147" spans="1:7" x14ac:dyDescent="0.2">
      <c r="A147" s="10">
        <v>14558</v>
      </c>
      <c r="B147" s="11">
        <v>41900</v>
      </c>
      <c r="C147" s="25">
        <v>25.5</v>
      </c>
      <c r="D147" s="25"/>
      <c r="E147" s="26" t="s">
        <v>17</v>
      </c>
    </row>
    <row r="148" spans="1:7" x14ac:dyDescent="0.2">
      <c r="A148" s="10">
        <v>14559</v>
      </c>
      <c r="B148" s="11">
        <v>41900</v>
      </c>
      <c r="C148" s="25">
        <v>25.5</v>
      </c>
      <c r="D148" s="25"/>
      <c r="E148" s="26" t="s">
        <v>17</v>
      </c>
    </row>
    <row r="149" spans="1:7" x14ac:dyDescent="0.2">
      <c r="A149" s="10">
        <v>14560</v>
      </c>
      <c r="B149" s="11">
        <v>41900</v>
      </c>
      <c r="C149" s="25">
        <v>99.54</v>
      </c>
      <c r="D149" s="25">
        <v>7.59</v>
      </c>
      <c r="E149" s="26" t="s">
        <v>125</v>
      </c>
    </row>
    <row r="150" spans="1:7" x14ac:dyDescent="0.2">
      <c r="A150" s="10">
        <v>14561</v>
      </c>
      <c r="B150" s="11">
        <v>41900</v>
      </c>
      <c r="C150" s="25">
        <v>242.7</v>
      </c>
      <c r="D150" s="25">
        <v>18.5</v>
      </c>
      <c r="E150" s="26" t="s">
        <v>126</v>
      </c>
    </row>
    <row r="151" spans="1:7" x14ac:dyDescent="0.2">
      <c r="A151" s="10">
        <v>14562</v>
      </c>
      <c r="B151" s="11">
        <v>41900</v>
      </c>
      <c r="C151" s="25">
        <v>48.71</v>
      </c>
      <c r="D151" s="25">
        <v>3.71</v>
      </c>
      <c r="E151" s="26" t="s">
        <v>11</v>
      </c>
      <c r="F151" s="33">
        <v>395.63</v>
      </c>
      <c r="G151" s="34">
        <v>389.81</v>
      </c>
    </row>
    <row r="152" spans="1:7" x14ac:dyDescent="0.2">
      <c r="A152" s="10">
        <v>14563</v>
      </c>
      <c r="B152" s="30">
        <v>41901</v>
      </c>
      <c r="C152" s="31">
        <v>154.80000000000001</v>
      </c>
      <c r="D152" s="25">
        <v>11.8</v>
      </c>
      <c r="E152" s="26" t="s">
        <v>11</v>
      </c>
    </row>
    <row r="153" spans="1:7" x14ac:dyDescent="0.2">
      <c r="A153" s="10">
        <v>14564</v>
      </c>
      <c r="B153" s="30">
        <v>41901</v>
      </c>
      <c r="C153" s="31">
        <v>114.75</v>
      </c>
      <c r="D153" s="25">
        <v>8.75</v>
      </c>
      <c r="E153" s="26"/>
    </row>
    <row r="154" spans="1:7" x14ac:dyDescent="0.2">
      <c r="A154" s="10">
        <v>14565</v>
      </c>
      <c r="B154" s="30">
        <v>41901</v>
      </c>
      <c r="C154" s="31">
        <v>140.72999999999999</v>
      </c>
      <c r="D154" s="25">
        <v>10.73</v>
      </c>
      <c r="E154" s="26" t="s">
        <v>11</v>
      </c>
    </row>
    <row r="155" spans="1:7" x14ac:dyDescent="0.2">
      <c r="A155" s="10">
        <v>14566</v>
      </c>
      <c r="B155" s="30">
        <v>41901</v>
      </c>
      <c r="C155" s="25">
        <v>160</v>
      </c>
      <c r="D155" s="25">
        <v>12.19</v>
      </c>
      <c r="E155" s="26"/>
    </row>
    <row r="156" spans="1:7" x14ac:dyDescent="0.2">
      <c r="A156" s="10">
        <v>14567</v>
      </c>
      <c r="B156" s="30">
        <v>41901</v>
      </c>
      <c r="C156" s="25">
        <v>60.62</v>
      </c>
      <c r="D156" s="25">
        <v>4.62</v>
      </c>
      <c r="E156" s="26"/>
    </row>
    <row r="157" spans="1:7" x14ac:dyDescent="0.2">
      <c r="A157" s="10">
        <v>14568</v>
      </c>
      <c r="B157" s="30">
        <v>41901</v>
      </c>
      <c r="C157" s="25">
        <v>503.36</v>
      </c>
      <c r="D157" s="25">
        <v>38.36</v>
      </c>
      <c r="E157" s="26" t="s">
        <v>11</v>
      </c>
    </row>
    <row r="158" spans="1:7" x14ac:dyDescent="0.2">
      <c r="A158" s="10">
        <v>14569</v>
      </c>
      <c r="B158" s="30">
        <v>41901</v>
      </c>
      <c r="C158" s="25">
        <v>48.71</v>
      </c>
      <c r="D158" s="25">
        <v>3.71</v>
      </c>
      <c r="E158" s="26"/>
    </row>
    <row r="159" spans="1:7" x14ac:dyDescent="0.2">
      <c r="A159" s="10">
        <v>14570</v>
      </c>
      <c r="B159" s="30">
        <v>41901</v>
      </c>
      <c r="C159" s="25">
        <v>14.56</v>
      </c>
      <c r="D159" s="25">
        <v>1.1100000000000001</v>
      </c>
      <c r="E159" s="26" t="s">
        <v>11</v>
      </c>
    </row>
    <row r="160" spans="1:7" x14ac:dyDescent="0.2">
      <c r="A160" s="10">
        <v>14571</v>
      </c>
      <c r="B160" s="30">
        <v>41901</v>
      </c>
      <c r="C160" s="25">
        <v>53.04</v>
      </c>
      <c r="D160" s="25">
        <v>4.04</v>
      </c>
      <c r="E160" s="26"/>
    </row>
    <row r="161" spans="1:7" x14ac:dyDescent="0.2">
      <c r="A161" s="10">
        <v>14572</v>
      </c>
      <c r="B161" s="30">
        <v>41901</v>
      </c>
      <c r="C161" s="25">
        <v>29.23</v>
      </c>
      <c r="D161" s="25">
        <v>2.23</v>
      </c>
      <c r="E161" s="26"/>
    </row>
    <row r="162" spans="1:7" x14ac:dyDescent="0.2">
      <c r="A162" s="10">
        <v>14573</v>
      </c>
      <c r="B162" s="30">
        <v>41901</v>
      </c>
      <c r="C162" s="25">
        <v>44.38</v>
      </c>
      <c r="D162" s="25">
        <v>3.38</v>
      </c>
      <c r="E162" s="26"/>
    </row>
    <row r="163" spans="1:7" x14ac:dyDescent="0.2">
      <c r="A163" s="10">
        <v>14574</v>
      </c>
      <c r="B163" s="30">
        <v>41901</v>
      </c>
      <c r="C163" s="25">
        <v>15.37</v>
      </c>
      <c r="D163" s="25">
        <v>11.7</v>
      </c>
      <c r="E163" s="26" t="s">
        <v>11</v>
      </c>
      <c r="F163" s="33">
        <v>828.82</v>
      </c>
      <c r="G163" s="34">
        <v>819.61</v>
      </c>
    </row>
    <row r="164" spans="1:7" x14ac:dyDescent="0.2">
      <c r="A164" s="10">
        <v>14575</v>
      </c>
      <c r="B164" s="11">
        <v>41902</v>
      </c>
      <c r="C164" s="25">
        <v>70.36</v>
      </c>
      <c r="D164" s="25">
        <v>5.36</v>
      </c>
      <c r="E164" s="26" t="s">
        <v>11</v>
      </c>
    </row>
    <row r="165" spans="1:7" x14ac:dyDescent="0.2">
      <c r="A165" s="10">
        <v>14576</v>
      </c>
      <c r="B165" s="11">
        <v>41902</v>
      </c>
      <c r="C165" s="25">
        <v>129.9</v>
      </c>
      <c r="D165" s="25">
        <v>9.9</v>
      </c>
      <c r="E165" s="26"/>
    </row>
    <row r="166" spans="1:7" x14ac:dyDescent="0.2">
      <c r="A166" s="10">
        <v>14577</v>
      </c>
      <c r="B166" s="11">
        <v>41902</v>
      </c>
      <c r="C166" s="25">
        <v>14.07</v>
      </c>
      <c r="D166" s="25">
        <v>1.07</v>
      </c>
      <c r="E166" s="26"/>
    </row>
    <row r="167" spans="1:7" x14ac:dyDescent="0.2">
      <c r="A167" s="10">
        <v>14578</v>
      </c>
      <c r="B167" s="11">
        <v>41902</v>
      </c>
      <c r="C167" s="25">
        <v>20.57</v>
      </c>
      <c r="D167" s="25">
        <v>1.57</v>
      </c>
      <c r="E167" s="26"/>
      <c r="F167" s="33">
        <v>70.36</v>
      </c>
      <c r="G167" s="34">
        <v>69.8</v>
      </c>
    </row>
    <row r="168" spans="1:7" x14ac:dyDescent="0.2">
      <c r="A168" s="10">
        <v>14579</v>
      </c>
      <c r="B168" s="11">
        <v>41904</v>
      </c>
      <c r="C168" s="25">
        <v>59.43</v>
      </c>
      <c r="D168" s="25">
        <v>4.53</v>
      </c>
      <c r="E168" s="26" t="s">
        <v>11</v>
      </c>
    </row>
    <row r="169" spans="1:7" x14ac:dyDescent="0.2">
      <c r="A169" s="10">
        <v>14580</v>
      </c>
      <c r="B169" s="11">
        <v>41904</v>
      </c>
      <c r="C169" s="25">
        <v>21.6</v>
      </c>
      <c r="D169" s="25">
        <v>1.65</v>
      </c>
      <c r="E169" s="26" t="s">
        <v>11</v>
      </c>
    </row>
    <row r="170" spans="1:7" x14ac:dyDescent="0.2">
      <c r="A170" s="10">
        <v>14581</v>
      </c>
      <c r="B170" s="11">
        <v>41904</v>
      </c>
      <c r="C170" s="25">
        <v>433</v>
      </c>
      <c r="D170" s="25">
        <v>33</v>
      </c>
      <c r="E170" s="26" t="s">
        <v>127</v>
      </c>
    </row>
    <row r="171" spans="1:7" x14ac:dyDescent="0.2">
      <c r="A171" s="10">
        <v>14582</v>
      </c>
      <c r="B171" s="11">
        <v>41904</v>
      </c>
      <c r="C171" s="25">
        <v>152.58000000000001</v>
      </c>
      <c r="D171" s="25">
        <v>11.63</v>
      </c>
      <c r="E171" s="26" t="s">
        <v>11</v>
      </c>
    </row>
    <row r="172" spans="1:7" x14ac:dyDescent="0.2">
      <c r="A172" s="10">
        <v>14583</v>
      </c>
      <c r="B172" s="11">
        <v>41904</v>
      </c>
      <c r="C172" s="25">
        <v>151.55000000000001</v>
      </c>
      <c r="D172" s="25">
        <v>11.55</v>
      </c>
      <c r="E172" s="26"/>
    </row>
    <row r="173" spans="1:7" x14ac:dyDescent="0.2">
      <c r="A173" s="10">
        <v>14584</v>
      </c>
      <c r="B173" s="11">
        <v>41904</v>
      </c>
      <c r="C173" s="25">
        <v>129.9</v>
      </c>
      <c r="D173" s="25">
        <v>9.09</v>
      </c>
      <c r="E173" s="26"/>
    </row>
    <row r="174" spans="1:7" x14ac:dyDescent="0.2">
      <c r="A174" s="10">
        <v>14585</v>
      </c>
      <c r="B174" s="11">
        <v>41904</v>
      </c>
      <c r="C174" s="25">
        <v>28.69</v>
      </c>
      <c r="D174" s="25">
        <v>2.19</v>
      </c>
      <c r="E174" s="26" t="s">
        <v>11</v>
      </c>
      <c r="F174" s="33">
        <v>673.85</v>
      </c>
      <c r="G174" s="34">
        <v>662.04</v>
      </c>
    </row>
    <row r="175" spans="1:7" x14ac:dyDescent="0.2">
      <c r="A175" s="10">
        <v>14586</v>
      </c>
      <c r="B175" s="11">
        <v>41905</v>
      </c>
      <c r="C175" s="25">
        <v>25.5</v>
      </c>
      <c r="D175" s="25"/>
      <c r="E175" s="26" t="s">
        <v>17</v>
      </c>
    </row>
    <row r="176" spans="1:7" x14ac:dyDescent="0.2">
      <c r="A176" s="10">
        <v>14587</v>
      </c>
      <c r="B176" s="11">
        <v>41905</v>
      </c>
      <c r="C176" s="25">
        <v>25.5</v>
      </c>
      <c r="D176" s="25"/>
      <c r="E176" s="26" t="s">
        <v>17</v>
      </c>
    </row>
    <row r="177" spans="1:7" x14ac:dyDescent="0.2">
      <c r="A177" s="10">
        <v>14588</v>
      </c>
      <c r="B177" s="11">
        <v>41905</v>
      </c>
      <c r="C177" s="25">
        <v>25.5</v>
      </c>
      <c r="D177" s="25"/>
      <c r="E177" s="26" t="s">
        <v>17</v>
      </c>
    </row>
    <row r="178" spans="1:7" x14ac:dyDescent="0.2">
      <c r="A178" s="10">
        <v>14589</v>
      </c>
      <c r="B178" s="11">
        <v>41905</v>
      </c>
      <c r="C178" s="25">
        <v>13.6</v>
      </c>
      <c r="D178" s="25"/>
      <c r="E178" s="26" t="s">
        <v>17</v>
      </c>
    </row>
    <row r="179" spans="1:7" x14ac:dyDescent="0.2">
      <c r="A179" s="10">
        <v>14590</v>
      </c>
      <c r="B179" s="11">
        <v>41905</v>
      </c>
      <c r="C179" s="25">
        <v>27.06</v>
      </c>
      <c r="D179" s="25">
        <v>2.06</v>
      </c>
      <c r="E179" s="26" t="s">
        <v>21</v>
      </c>
    </row>
    <row r="180" spans="1:7" x14ac:dyDescent="0.2">
      <c r="A180" s="10">
        <v>14591</v>
      </c>
      <c r="B180" s="11">
        <v>41905</v>
      </c>
      <c r="C180" s="25">
        <v>46.49</v>
      </c>
      <c r="D180" s="25">
        <v>3.54</v>
      </c>
      <c r="E180" s="26" t="s">
        <v>13</v>
      </c>
    </row>
    <row r="181" spans="1:7" x14ac:dyDescent="0.2">
      <c r="A181" s="10">
        <v>14592</v>
      </c>
      <c r="B181" s="11">
        <v>41905</v>
      </c>
      <c r="C181" s="25">
        <v>193.77</v>
      </c>
      <c r="D181" s="25">
        <v>14.77</v>
      </c>
      <c r="E181" s="26" t="s">
        <v>11</v>
      </c>
    </row>
    <row r="182" spans="1:7" x14ac:dyDescent="0.2">
      <c r="A182" s="10">
        <v>14593</v>
      </c>
      <c r="B182" s="11">
        <v>41905</v>
      </c>
      <c r="C182" s="25">
        <v>332</v>
      </c>
      <c r="D182" s="25">
        <v>25.3</v>
      </c>
      <c r="E182" s="26" t="s">
        <v>11</v>
      </c>
    </row>
    <row r="183" spans="1:7" x14ac:dyDescent="0.2">
      <c r="A183" s="10">
        <v>14594</v>
      </c>
      <c r="B183" s="11">
        <v>41905</v>
      </c>
      <c r="C183" s="25">
        <v>15.16</v>
      </c>
      <c r="D183" s="25">
        <v>1.1599999999999999</v>
      </c>
      <c r="E183" s="26" t="s">
        <v>11</v>
      </c>
    </row>
    <row r="184" spans="1:7" x14ac:dyDescent="0.2">
      <c r="A184" s="10">
        <v>14595</v>
      </c>
      <c r="B184" s="11">
        <v>41905</v>
      </c>
      <c r="C184" s="25">
        <v>181.86</v>
      </c>
      <c r="D184" s="25">
        <v>13.86</v>
      </c>
      <c r="E184" s="26" t="s">
        <v>11</v>
      </c>
    </row>
    <row r="185" spans="1:7" x14ac:dyDescent="0.2">
      <c r="A185" s="10">
        <v>14596</v>
      </c>
      <c r="B185" s="11">
        <v>41905</v>
      </c>
      <c r="C185" s="25">
        <v>11</v>
      </c>
      <c r="D185" s="25">
        <v>0.84</v>
      </c>
      <c r="E185" s="26"/>
    </row>
    <row r="186" spans="1:7" x14ac:dyDescent="0.2">
      <c r="A186" s="10">
        <v>14597</v>
      </c>
      <c r="B186" s="11">
        <v>41905</v>
      </c>
      <c r="C186" s="25">
        <v>15.05</v>
      </c>
      <c r="D186" s="25">
        <v>1.1499999999999999</v>
      </c>
      <c r="E186" s="26" t="s">
        <v>11</v>
      </c>
    </row>
    <row r="187" spans="1:7" x14ac:dyDescent="0.2">
      <c r="A187" s="10">
        <v>14598</v>
      </c>
      <c r="B187" s="11">
        <v>41905</v>
      </c>
      <c r="C187" s="25">
        <v>50</v>
      </c>
      <c r="D187" s="25">
        <v>3.81</v>
      </c>
      <c r="E187" s="26"/>
      <c r="F187" s="47">
        <v>874.43</v>
      </c>
      <c r="G187" s="48">
        <v>959.98</v>
      </c>
    </row>
    <row r="188" spans="1:7" x14ac:dyDescent="0.2">
      <c r="A188" s="10">
        <v>14599</v>
      </c>
      <c r="B188" s="11">
        <v>41906</v>
      </c>
      <c r="C188" s="25">
        <v>338.82</v>
      </c>
      <c r="D188" s="25">
        <v>25.83</v>
      </c>
      <c r="E188" s="26" t="s">
        <v>11</v>
      </c>
    </row>
    <row r="189" spans="1:7" x14ac:dyDescent="0.2">
      <c r="A189" s="10">
        <v>14600</v>
      </c>
      <c r="B189" s="11">
        <v>41906</v>
      </c>
      <c r="C189" s="25">
        <v>130</v>
      </c>
      <c r="D189" s="25">
        <v>9.91</v>
      </c>
      <c r="E189" s="26"/>
    </row>
    <row r="190" spans="1:7" x14ac:dyDescent="0.2">
      <c r="A190" s="10">
        <v>14601</v>
      </c>
      <c r="B190" s="11">
        <v>41906</v>
      </c>
      <c r="C190" s="25">
        <v>315.01</v>
      </c>
      <c r="D190" s="25">
        <v>24.01</v>
      </c>
      <c r="E190" s="26"/>
    </row>
    <row r="191" spans="1:7" x14ac:dyDescent="0.2">
      <c r="A191" s="10">
        <v>14602</v>
      </c>
      <c r="B191" s="11">
        <v>41906</v>
      </c>
      <c r="C191" s="25">
        <v>392.95</v>
      </c>
      <c r="D191" s="25">
        <v>29.95</v>
      </c>
      <c r="E191" s="26" t="s">
        <v>128</v>
      </c>
    </row>
    <row r="192" spans="1:7" x14ac:dyDescent="0.2">
      <c r="A192" s="10">
        <v>14603</v>
      </c>
      <c r="B192" s="11">
        <v>41906</v>
      </c>
      <c r="C192" s="25">
        <v>182.94</v>
      </c>
      <c r="D192" s="25">
        <v>13.94</v>
      </c>
      <c r="E192" s="26" t="s">
        <v>11</v>
      </c>
    </row>
    <row r="193" spans="1:7" x14ac:dyDescent="0.2">
      <c r="A193" s="10">
        <v>14604</v>
      </c>
      <c r="B193" s="11">
        <v>41906</v>
      </c>
      <c r="C193" s="25">
        <v>1881.5</v>
      </c>
      <c r="D193" s="25"/>
      <c r="E193" s="26" t="s">
        <v>17</v>
      </c>
    </row>
    <row r="194" spans="1:7" x14ac:dyDescent="0.2">
      <c r="A194" s="10">
        <v>14605</v>
      </c>
      <c r="B194" s="11">
        <v>41906</v>
      </c>
      <c r="C194" s="25">
        <v>596</v>
      </c>
      <c r="D194" s="25"/>
      <c r="E194" s="26" t="s">
        <v>17</v>
      </c>
      <c r="F194" s="47">
        <v>3392.21</v>
      </c>
      <c r="G194" s="48">
        <v>3287.45</v>
      </c>
    </row>
    <row r="195" spans="1:7" x14ac:dyDescent="0.2">
      <c r="A195" s="10">
        <v>14606</v>
      </c>
      <c r="B195" s="11">
        <v>41907</v>
      </c>
      <c r="C195" s="25">
        <v>248.27</v>
      </c>
      <c r="D195" s="25">
        <v>18.920000000000002</v>
      </c>
      <c r="E195" s="26" t="s">
        <v>21</v>
      </c>
    </row>
    <row r="196" spans="1:7" x14ac:dyDescent="0.2">
      <c r="A196" s="10">
        <v>14607</v>
      </c>
      <c r="B196" s="11">
        <v>41907</v>
      </c>
      <c r="C196" s="25">
        <v>17.27</v>
      </c>
      <c r="D196" s="25">
        <v>1.32</v>
      </c>
      <c r="E196" s="26"/>
      <c r="F196" s="33">
        <v>10.83</v>
      </c>
      <c r="G196" s="34">
        <v>10.47</v>
      </c>
    </row>
    <row r="197" spans="1:7" x14ac:dyDescent="0.2">
      <c r="A197" s="10">
        <v>14608</v>
      </c>
      <c r="B197" s="11">
        <v>41908</v>
      </c>
      <c r="C197" s="12">
        <v>30.96</v>
      </c>
      <c r="D197" s="12">
        <v>2.36</v>
      </c>
      <c r="E197" s="15" t="s">
        <v>11</v>
      </c>
    </row>
    <row r="198" spans="1:7" x14ac:dyDescent="0.2">
      <c r="A198" s="10">
        <v>14609</v>
      </c>
      <c r="B198" s="11">
        <v>41908</v>
      </c>
      <c r="C198" s="12">
        <v>7.52</v>
      </c>
      <c r="D198" s="12">
        <v>0.56999999999999995</v>
      </c>
      <c r="E198" s="49" t="s">
        <v>7</v>
      </c>
      <c r="F198" s="21"/>
      <c r="G198" s="22"/>
    </row>
    <row r="199" spans="1:7" x14ac:dyDescent="0.2">
      <c r="A199" s="10">
        <v>14610</v>
      </c>
      <c r="B199" s="11">
        <v>41908</v>
      </c>
      <c r="C199" s="12">
        <v>264.13</v>
      </c>
      <c r="D199" s="12">
        <v>20.13</v>
      </c>
      <c r="E199" s="49" t="s">
        <v>7</v>
      </c>
    </row>
    <row r="200" spans="1:7" x14ac:dyDescent="0.2">
      <c r="A200" s="10">
        <v>14611</v>
      </c>
      <c r="B200" s="11">
        <v>41908</v>
      </c>
      <c r="C200" s="12">
        <v>21.6</v>
      </c>
      <c r="D200" s="12">
        <v>1.65</v>
      </c>
      <c r="E200" s="49" t="s">
        <v>7</v>
      </c>
      <c r="F200" s="21"/>
      <c r="G200" s="22"/>
    </row>
    <row r="201" spans="1:7" x14ac:dyDescent="0.2">
      <c r="A201" s="10">
        <v>14612</v>
      </c>
      <c r="B201" s="11">
        <v>41908</v>
      </c>
      <c r="C201" s="12">
        <v>0</v>
      </c>
      <c r="D201" s="12"/>
      <c r="E201" s="49" t="s">
        <v>129</v>
      </c>
    </row>
    <row r="202" spans="1:7" x14ac:dyDescent="0.2">
      <c r="A202" s="10">
        <v>14613</v>
      </c>
      <c r="B202" s="11">
        <v>41908</v>
      </c>
      <c r="C202" s="12">
        <v>64.84</v>
      </c>
      <c r="D202" s="12">
        <v>4.9400000000000004</v>
      </c>
      <c r="E202" s="49" t="s">
        <v>11</v>
      </c>
      <c r="F202" s="21"/>
      <c r="G202" s="22"/>
    </row>
    <row r="203" spans="1:7" x14ac:dyDescent="0.2">
      <c r="A203" s="10">
        <v>14614</v>
      </c>
      <c r="B203" s="11">
        <v>41908</v>
      </c>
      <c r="C203" s="12">
        <v>17.54</v>
      </c>
      <c r="D203" s="12">
        <v>1.34</v>
      </c>
      <c r="E203" s="50"/>
    </row>
    <row r="204" spans="1:7" x14ac:dyDescent="0.2">
      <c r="A204" s="10">
        <v>14615</v>
      </c>
      <c r="B204" s="11">
        <v>41908</v>
      </c>
      <c r="C204" s="12">
        <v>60</v>
      </c>
      <c r="D204" s="12">
        <v>4.57</v>
      </c>
      <c r="E204" s="49" t="s">
        <v>11</v>
      </c>
    </row>
    <row r="205" spans="1:7" x14ac:dyDescent="0.2">
      <c r="A205" s="10">
        <v>14616</v>
      </c>
      <c r="B205" s="11">
        <v>41908</v>
      </c>
      <c r="C205" s="12">
        <v>266.3</v>
      </c>
      <c r="D205" s="12">
        <v>20.3</v>
      </c>
      <c r="E205" s="51" t="s">
        <v>130</v>
      </c>
      <c r="F205" s="18"/>
      <c r="G205" s="19"/>
    </row>
    <row r="206" spans="1:7" x14ac:dyDescent="0.2">
      <c r="A206" s="10">
        <v>14617</v>
      </c>
      <c r="B206" s="11">
        <v>41908</v>
      </c>
      <c r="C206" s="12">
        <v>10.83</v>
      </c>
      <c r="D206" s="12">
        <v>0.83</v>
      </c>
      <c r="E206" s="15" t="s">
        <v>11</v>
      </c>
      <c r="F206" s="21"/>
      <c r="G206" s="22"/>
    </row>
    <row r="207" spans="1:7" x14ac:dyDescent="0.2">
      <c r="A207" s="10">
        <v>14618</v>
      </c>
      <c r="B207" s="11">
        <v>41908</v>
      </c>
      <c r="C207" s="12">
        <v>23.33</v>
      </c>
      <c r="D207" s="12">
        <v>1.78</v>
      </c>
      <c r="E207" s="17"/>
    </row>
    <row r="208" spans="1:7" x14ac:dyDescent="0.2">
      <c r="A208" s="10">
        <v>14619</v>
      </c>
      <c r="B208" s="11">
        <v>41908</v>
      </c>
      <c r="C208" s="12">
        <v>30.3</v>
      </c>
      <c r="D208" s="12">
        <v>2.31</v>
      </c>
      <c r="E208" s="17"/>
    </row>
    <row r="209" spans="1:7" x14ac:dyDescent="0.2">
      <c r="A209" s="10">
        <v>14620</v>
      </c>
      <c r="B209" s="11">
        <v>41908</v>
      </c>
      <c r="C209" s="12">
        <v>64.41</v>
      </c>
      <c r="D209" s="12">
        <v>4.91</v>
      </c>
      <c r="E209" s="15" t="s">
        <v>11</v>
      </c>
      <c r="F209" s="21"/>
      <c r="G209" s="22"/>
    </row>
    <row r="210" spans="1:7" x14ac:dyDescent="0.2">
      <c r="A210" s="10">
        <v>14621</v>
      </c>
      <c r="B210" s="11">
        <v>41908</v>
      </c>
      <c r="C210" s="12">
        <v>60.62</v>
      </c>
      <c r="D210" s="12">
        <v>4.62</v>
      </c>
      <c r="E210" s="17"/>
    </row>
    <row r="211" spans="1:7" x14ac:dyDescent="0.2">
      <c r="A211" s="10">
        <v>14622</v>
      </c>
      <c r="B211" s="11">
        <v>41908</v>
      </c>
      <c r="C211" s="12">
        <v>-151.55000000000001</v>
      </c>
      <c r="D211" s="12">
        <v>-11.55</v>
      </c>
      <c r="E211" s="17"/>
      <c r="F211" s="33">
        <f>+C198+C199+C200+875+C204+178.11+145+64.84</f>
        <v>1616.2</v>
      </c>
      <c r="G211" s="34">
        <v>1588.09</v>
      </c>
    </row>
    <row r="212" spans="1:7" x14ac:dyDescent="0.2">
      <c r="A212" s="10">
        <v>14623</v>
      </c>
      <c r="B212" s="11">
        <v>41909</v>
      </c>
      <c r="C212" s="12">
        <v>454.65</v>
      </c>
      <c r="D212" s="12">
        <v>34.65</v>
      </c>
      <c r="E212" s="15" t="s">
        <v>131</v>
      </c>
    </row>
    <row r="213" spans="1:7" x14ac:dyDescent="0.2">
      <c r="A213" s="10">
        <v>14624</v>
      </c>
      <c r="B213" s="11">
        <v>41909</v>
      </c>
      <c r="C213" s="12">
        <v>24</v>
      </c>
      <c r="D213" s="12"/>
      <c r="E213" s="17"/>
      <c r="F213" s="18"/>
      <c r="G213" s="19"/>
    </row>
    <row r="214" spans="1:7" x14ac:dyDescent="0.2">
      <c r="A214" s="10">
        <v>14625</v>
      </c>
      <c r="B214" s="11">
        <v>41909</v>
      </c>
      <c r="C214" s="12">
        <v>1094.4075</v>
      </c>
      <c r="D214" s="12">
        <v>83.407499999999999</v>
      </c>
      <c r="E214" s="13" t="s">
        <v>132</v>
      </c>
      <c r="F214" s="18"/>
      <c r="G214" s="19"/>
    </row>
    <row r="215" spans="1:7" x14ac:dyDescent="0.2">
      <c r="A215" s="10">
        <v>14626</v>
      </c>
      <c r="B215" s="11">
        <v>41909</v>
      </c>
      <c r="C215" s="12">
        <v>48</v>
      </c>
      <c r="D215" s="12"/>
      <c r="E215" s="17"/>
    </row>
    <row r="216" spans="1:7" x14ac:dyDescent="0.2">
      <c r="A216" s="10">
        <v>14627</v>
      </c>
      <c r="B216" s="11">
        <v>41909</v>
      </c>
      <c r="C216" s="12">
        <v>240.32</v>
      </c>
      <c r="D216" s="12">
        <v>18.32</v>
      </c>
      <c r="E216" s="15" t="s">
        <v>133</v>
      </c>
      <c r="F216" s="21"/>
      <c r="G216" s="22"/>
    </row>
    <row r="217" spans="1:7" x14ac:dyDescent="0.2">
      <c r="A217" s="10">
        <v>14628</v>
      </c>
      <c r="B217" s="11">
        <v>41909</v>
      </c>
      <c r="C217" s="12">
        <v>21.65</v>
      </c>
      <c r="D217" s="12">
        <v>1.65</v>
      </c>
      <c r="E217" s="15" t="s">
        <v>133</v>
      </c>
      <c r="F217" s="21"/>
      <c r="G217" s="22"/>
    </row>
    <row r="218" spans="1:7" x14ac:dyDescent="0.2">
      <c r="A218" s="10">
        <v>14629</v>
      </c>
      <c r="B218" s="11">
        <v>41909</v>
      </c>
      <c r="C218" s="12">
        <v>15.43</v>
      </c>
      <c r="D218" s="12">
        <v>1.18</v>
      </c>
      <c r="E218" s="13"/>
      <c r="F218" s="18"/>
      <c r="G218" s="19"/>
    </row>
    <row r="219" spans="1:7" x14ac:dyDescent="0.2">
      <c r="A219" s="10">
        <v>14630</v>
      </c>
      <c r="B219" s="11">
        <v>41909</v>
      </c>
      <c r="C219" s="12">
        <v>7.58</v>
      </c>
      <c r="D219" s="12">
        <v>0.57999999999999996</v>
      </c>
      <c r="E219" s="15" t="s">
        <v>7</v>
      </c>
    </row>
    <row r="220" spans="1:7" x14ac:dyDescent="0.2">
      <c r="A220" s="10">
        <v>14631</v>
      </c>
      <c r="B220" s="11">
        <v>41909</v>
      </c>
      <c r="C220" s="12">
        <v>76.86</v>
      </c>
      <c r="D220" s="12">
        <v>5.86</v>
      </c>
      <c r="E220" s="15" t="s">
        <v>21</v>
      </c>
    </row>
    <row r="221" spans="1:7" x14ac:dyDescent="0.2">
      <c r="A221" s="10">
        <v>14632</v>
      </c>
      <c r="B221" s="11">
        <v>41909</v>
      </c>
      <c r="C221" s="12">
        <v>141.61000000000001</v>
      </c>
      <c r="D221" s="12">
        <v>10.79</v>
      </c>
      <c r="E221" s="15" t="s">
        <v>134</v>
      </c>
    </row>
    <row r="222" spans="1:7" x14ac:dyDescent="0.2">
      <c r="A222" s="10">
        <v>14633</v>
      </c>
      <c r="B222" s="11">
        <v>41909</v>
      </c>
      <c r="C222" s="25">
        <v>24</v>
      </c>
      <c r="E222" s="26" t="s">
        <v>69</v>
      </c>
      <c r="F222" s="33">
        <f>400+C219+50</f>
        <v>457.58</v>
      </c>
      <c r="G222" s="34">
        <v>458.03</v>
      </c>
    </row>
    <row r="223" spans="1:7" x14ac:dyDescent="0.2">
      <c r="A223" s="10">
        <v>14634</v>
      </c>
      <c r="B223" s="11">
        <v>41911</v>
      </c>
      <c r="C223" s="25">
        <v>14.07</v>
      </c>
      <c r="D223" s="4">
        <v>1.07</v>
      </c>
      <c r="E223" s="26"/>
    </row>
    <row r="224" spans="1:7" x14ac:dyDescent="0.2">
      <c r="A224" s="10">
        <v>14635</v>
      </c>
      <c r="B224" s="11">
        <v>41911</v>
      </c>
      <c r="C224" s="25">
        <v>11.9</v>
      </c>
      <c r="E224" s="26" t="s">
        <v>11</v>
      </c>
    </row>
    <row r="225" spans="1:7" x14ac:dyDescent="0.2">
      <c r="A225" s="10">
        <v>14636</v>
      </c>
      <c r="B225" s="11">
        <v>41911</v>
      </c>
      <c r="C225" s="25">
        <v>25.5</v>
      </c>
      <c r="E225" s="26" t="s">
        <v>11</v>
      </c>
    </row>
    <row r="226" spans="1:7" x14ac:dyDescent="0.2">
      <c r="A226" s="10">
        <v>14637</v>
      </c>
      <c r="B226" s="11">
        <v>41911</v>
      </c>
      <c r="C226" s="25">
        <v>74.69</v>
      </c>
      <c r="D226" s="4">
        <v>5.69</v>
      </c>
      <c r="E226" s="26"/>
    </row>
    <row r="227" spans="1:7" x14ac:dyDescent="0.2">
      <c r="A227" s="10">
        <v>14638</v>
      </c>
      <c r="B227" s="11">
        <v>41911</v>
      </c>
      <c r="C227" s="25">
        <v>32.479999999999997</v>
      </c>
      <c r="D227" s="4">
        <v>2.48</v>
      </c>
      <c r="E227" s="26" t="s">
        <v>7</v>
      </c>
    </row>
    <row r="228" spans="1:7" x14ac:dyDescent="0.2">
      <c r="A228" s="10">
        <v>14639</v>
      </c>
      <c r="B228" s="11">
        <v>41911</v>
      </c>
      <c r="C228" s="25">
        <v>282.32</v>
      </c>
      <c r="D228" s="4">
        <v>21.52</v>
      </c>
      <c r="E228" s="26"/>
    </row>
    <row r="229" spans="1:7" x14ac:dyDescent="0.2">
      <c r="A229" s="10">
        <v>14640</v>
      </c>
      <c r="B229" s="11">
        <v>41911</v>
      </c>
      <c r="C229" s="25">
        <v>12.99</v>
      </c>
      <c r="D229" s="4">
        <v>0.99</v>
      </c>
      <c r="E229" s="26" t="s">
        <v>11</v>
      </c>
    </row>
    <row r="230" spans="1:7" x14ac:dyDescent="0.2">
      <c r="A230" s="10">
        <v>14641</v>
      </c>
      <c r="B230" s="11">
        <v>41911</v>
      </c>
      <c r="C230" s="25">
        <v>283.62</v>
      </c>
      <c r="D230" s="4">
        <v>21.62</v>
      </c>
      <c r="E230" s="26"/>
    </row>
    <row r="231" spans="1:7" x14ac:dyDescent="0.2">
      <c r="A231" s="10">
        <v>14642</v>
      </c>
      <c r="B231" s="11">
        <v>41911</v>
      </c>
      <c r="C231" s="12">
        <v>124.49</v>
      </c>
      <c r="D231" s="12">
        <v>9.49</v>
      </c>
      <c r="E231" s="15" t="s">
        <v>11</v>
      </c>
    </row>
    <row r="232" spans="1:7" x14ac:dyDescent="0.2">
      <c r="A232" s="10">
        <v>14643</v>
      </c>
      <c r="B232" s="11">
        <v>41911</v>
      </c>
      <c r="C232" s="12">
        <v>84</v>
      </c>
      <c r="D232" s="12">
        <v>6.4</v>
      </c>
      <c r="E232" s="17"/>
    </row>
    <row r="233" spans="1:7" x14ac:dyDescent="0.2">
      <c r="A233" s="10">
        <v>14644</v>
      </c>
      <c r="B233" s="11">
        <v>41911</v>
      </c>
      <c r="C233" s="12">
        <v>2.15</v>
      </c>
      <c r="D233" s="12">
        <v>0.16</v>
      </c>
      <c r="E233" s="17"/>
      <c r="F233" s="33">
        <f>+C224+C225+C227+C229+C231+22.96</f>
        <v>230.32</v>
      </c>
      <c r="G233" s="34">
        <v>226.11</v>
      </c>
    </row>
    <row r="234" spans="1:7" x14ac:dyDescent="0.2">
      <c r="A234" s="10">
        <v>14645</v>
      </c>
      <c r="B234" s="11">
        <v>41912</v>
      </c>
      <c r="C234" s="25">
        <v>152.09</v>
      </c>
      <c r="D234" s="4">
        <v>11.59</v>
      </c>
      <c r="E234" s="26" t="s">
        <v>7</v>
      </c>
    </row>
    <row r="235" spans="1:7" x14ac:dyDescent="0.2">
      <c r="A235" s="10">
        <v>14646</v>
      </c>
      <c r="B235" s="11">
        <v>41912</v>
      </c>
      <c r="C235" s="25">
        <v>7.4</v>
      </c>
      <c r="E235" s="26" t="s">
        <v>135</v>
      </c>
    </row>
    <row r="236" spans="1:7" x14ac:dyDescent="0.2">
      <c r="A236" s="10">
        <v>14647</v>
      </c>
      <c r="B236" s="11">
        <v>41912</v>
      </c>
      <c r="C236" s="25">
        <v>97.43</v>
      </c>
      <c r="D236" s="4">
        <v>7.43</v>
      </c>
      <c r="E236" s="26"/>
    </row>
    <row r="237" spans="1:7" x14ac:dyDescent="0.2">
      <c r="A237" s="10">
        <v>14648</v>
      </c>
      <c r="B237" s="11">
        <v>41912</v>
      </c>
      <c r="C237" s="25">
        <v>245.73</v>
      </c>
      <c r="D237" s="4">
        <v>18.73</v>
      </c>
      <c r="E237" s="26" t="s">
        <v>21</v>
      </c>
      <c r="F237" s="33">
        <f>+C234</f>
        <v>152.09</v>
      </c>
      <c r="G237" s="34" t="s">
        <v>136</v>
      </c>
    </row>
    <row r="238" spans="1:7" x14ac:dyDescent="0.2">
      <c r="E238" s="26"/>
    </row>
    <row r="239" spans="1:7" x14ac:dyDescent="0.2">
      <c r="E239" s="26"/>
    </row>
    <row r="240" spans="1:7" x14ac:dyDescent="0.2">
      <c r="E240" s="26"/>
    </row>
    <row r="241" spans="5:5" x14ac:dyDescent="0.2">
      <c r="E241" s="26"/>
    </row>
    <row r="242" spans="5:5" x14ac:dyDescent="0.2">
      <c r="E242" s="26"/>
    </row>
    <row r="243" spans="5:5" x14ac:dyDescent="0.2">
      <c r="E243" s="26"/>
    </row>
    <row r="244" spans="5:5" x14ac:dyDescent="0.2">
      <c r="E244" s="26"/>
    </row>
    <row r="245" spans="5:5" x14ac:dyDescent="0.2">
      <c r="E245" s="26"/>
    </row>
    <row r="246" spans="5:5" x14ac:dyDescent="0.2">
      <c r="E246" s="26"/>
    </row>
    <row r="247" spans="5:5" x14ac:dyDescent="0.2">
      <c r="E247" s="26"/>
    </row>
    <row r="248" spans="5:5" x14ac:dyDescent="0.2">
      <c r="E248" s="26"/>
    </row>
    <row r="249" spans="5:5" x14ac:dyDescent="0.2">
      <c r="E249" s="26"/>
    </row>
    <row r="250" spans="5:5" x14ac:dyDescent="0.2">
      <c r="E250" s="26"/>
    </row>
    <row r="251" spans="5:5" x14ac:dyDescent="0.2">
      <c r="E251" s="26"/>
    </row>
    <row r="252" spans="5:5" x14ac:dyDescent="0.2">
      <c r="E252" s="26"/>
    </row>
    <row r="253" spans="5:5" x14ac:dyDescent="0.2">
      <c r="E253" s="26"/>
    </row>
    <row r="254" spans="5:5" x14ac:dyDescent="0.2">
      <c r="E254" s="26"/>
    </row>
    <row r="255" spans="5:5" x14ac:dyDescent="0.2">
      <c r="E255" s="26"/>
    </row>
    <row r="256" spans="5:5" x14ac:dyDescent="0.2">
      <c r="E256" s="26"/>
    </row>
    <row r="257" spans="5:5" x14ac:dyDescent="0.2">
      <c r="E257" s="26"/>
    </row>
    <row r="258" spans="5:5" x14ac:dyDescent="0.2">
      <c r="E258" s="26"/>
    </row>
    <row r="259" spans="5:5" x14ac:dyDescent="0.2">
      <c r="E259" s="26"/>
    </row>
    <row r="260" spans="5:5" x14ac:dyDescent="0.2">
      <c r="E260" s="26"/>
    </row>
    <row r="261" spans="5:5" x14ac:dyDescent="0.2">
      <c r="E261" s="26"/>
    </row>
    <row r="262" spans="5:5" x14ac:dyDescent="0.2">
      <c r="E262" s="26"/>
    </row>
    <row r="263" spans="5:5" x14ac:dyDescent="0.2">
      <c r="E263" s="26"/>
    </row>
    <row r="264" spans="5:5" x14ac:dyDescent="0.2">
      <c r="E264" s="26"/>
    </row>
    <row r="265" spans="5:5" x14ac:dyDescent="0.2">
      <c r="E265" s="26"/>
    </row>
    <row r="266" spans="5:5" x14ac:dyDescent="0.2">
      <c r="E266" s="26"/>
    </row>
    <row r="267" spans="5:5" x14ac:dyDescent="0.2">
      <c r="E267" s="26"/>
    </row>
    <row r="268" spans="5:5" x14ac:dyDescent="0.2">
      <c r="E268" s="26"/>
    </row>
    <row r="269" spans="5:5" x14ac:dyDescent="0.2">
      <c r="E269" s="26"/>
    </row>
    <row r="270" spans="5:5" x14ac:dyDescent="0.2">
      <c r="E270" s="26"/>
    </row>
    <row r="271" spans="5:5" x14ac:dyDescent="0.2">
      <c r="E271" s="26"/>
    </row>
    <row r="272" spans="5:5" x14ac:dyDescent="0.2">
      <c r="E272" s="26"/>
    </row>
    <row r="273" spans="5:5" x14ac:dyDescent="0.2">
      <c r="E273" s="26"/>
    </row>
    <row r="274" spans="5:5" x14ac:dyDescent="0.2">
      <c r="E274" s="26"/>
    </row>
    <row r="275" spans="5:5" x14ac:dyDescent="0.2">
      <c r="E275" s="26"/>
    </row>
    <row r="276" spans="5:5" x14ac:dyDescent="0.2">
      <c r="E276" s="26"/>
    </row>
    <row r="277" spans="5:5" x14ac:dyDescent="0.2">
      <c r="E277" s="26"/>
    </row>
    <row r="278" spans="5:5" x14ac:dyDescent="0.2">
      <c r="E278" s="26"/>
    </row>
    <row r="279" spans="5:5" x14ac:dyDescent="0.2">
      <c r="E279" s="26"/>
    </row>
    <row r="280" spans="5:5" x14ac:dyDescent="0.2">
      <c r="E280" s="26"/>
    </row>
    <row r="281" spans="5:5" x14ac:dyDescent="0.2">
      <c r="E281" s="26"/>
    </row>
    <row r="282" spans="5:5" x14ac:dyDescent="0.2">
      <c r="E282" s="26"/>
    </row>
    <row r="283" spans="5:5" x14ac:dyDescent="0.2">
      <c r="E283" s="26"/>
    </row>
    <row r="284" spans="5:5" x14ac:dyDescent="0.2">
      <c r="E284" s="26"/>
    </row>
    <row r="285" spans="5:5" x14ac:dyDescent="0.2">
      <c r="E285" s="26"/>
    </row>
    <row r="286" spans="5:5" x14ac:dyDescent="0.2">
      <c r="E286" s="26"/>
    </row>
    <row r="287" spans="5:5" x14ac:dyDescent="0.2">
      <c r="E287" s="26"/>
    </row>
    <row r="288" spans="5:5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18"/>
  <sheetViews>
    <sheetView workbookViewId="0"/>
  </sheetViews>
  <sheetFormatPr defaultRowHeight="15" x14ac:dyDescent="0.25"/>
  <cols>
    <col min="1" max="1" width="9.7109375" bestFit="1" customWidth="1"/>
  </cols>
  <sheetData>
    <row r="1" spans="1:12" ht="15.75" x14ac:dyDescent="0.25">
      <c r="B1" s="54" t="s">
        <v>172</v>
      </c>
      <c r="H1" s="54" t="s">
        <v>173</v>
      </c>
    </row>
    <row r="3" spans="1:12" ht="15.75" x14ac:dyDescent="0.25">
      <c r="B3" s="55">
        <v>2009</v>
      </c>
      <c r="C3" s="55">
        <v>2010</v>
      </c>
      <c r="D3" s="55">
        <v>2011</v>
      </c>
      <c r="E3" s="55">
        <v>2012</v>
      </c>
      <c r="F3" s="55">
        <v>2013</v>
      </c>
      <c r="G3" s="55"/>
      <c r="H3" s="55">
        <v>2009</v>
      </c>
      <c r="I3" s="55">
        <v>2010</v>
      </c>
      <c r="J3" s="55">
        <v>2011</v>
      </c>
      <c r="K3" s="55">
        <v>2012</v>
      </c>
      <c r="L3" s="55">
        <v>2013</v>
      </c>
    </row>
    <row r="4" spans="1:12" x14ac:dyDescent="0.25">
      <c r="A4" t="s">
        <v>174</v>
      </c>
      <c r="B4" s="52">
        <f>SUM([1]Weekly!$F$30:$F$33)</f>
        <v>6909.58</v>
      </c>
      <c r="C4" s="52">
        <f>SUM([1]Weekly!$F82:$F86)</f>
        <v>15810.199999999999</v>
      </c>
      <c r="D4" s="52">
        <f>SUM([1]Weekly!$F134:$F138)</f>
        <v>14251.52</v>
      </c>
      <c r="E4" s="52">
        <f>SUM([1]Weekly!$F186:$F190)</f>
        <v>22581.08</v>
      </c>
      <c r="F4" s="52">
        <f>SUM([1]Weekly!$F239:$F242)</f>
        <v>12987.34</v>
      </c>
      <c r="H4" s="52">
        <f>AVERAGE([1]Weekly!$F$30:$F$33)</f>
        <v>1727.395</v>
      </c>
      <c r="I4" s="52">
        <f>AVERAGE([1]Weekly!$F82:$F86)</f>
        <v>3162.04</v>
      </c>
      <c r="J4" s="52">
        <f>AVERAGE([1]Weekly!$F134:$F138)</f>
        <v>2850.3040000000001</v>
      </c>
      <c r="K4" s="52">
        <f>AVERAGE([1]Weekly!$F186:$F190)</f>
        <v>4516.2160000000003</v>
      </c>
      <c r="L4" s="52">
        <f>AVERAGE([1]Weekly!$F239:$F242)</f>
        <v>3246.835</v>
      </c>
    </row>
    <row r="5" spans="1:12" x14ac:dyDescent="0.25">
      <c r="A5" t="s">
        <v>175</v>
      </c>
      <c r="B5" s="52">
        <f>SUM([1]Weekly!$F34:$F37)</f>
        <v>12135.26</v>
      </c>
      <c r="C5" s="52">
        <f>SUM([1]Weekly!$F87:$F90)</f>
        <v>18126.289999999997</v>
      </c>
      <c r="D5" s="52">
        <f>SUM([1]Weekly!$F139:$F142)</f>
        <v>17401.060000000001</v>
      </c>
      <c r="E5" s="52">
        <f>SUM([1]Weekly!$F191:$F194)</f>
        <v>20516.559999999998</v>
      </c>
      <c r="F5" s="52">
        <f>SUM([1]Weekly!$F243:$F244)</f>
        <v>12296.58</v>
      </c>
      <c r="H5" s="52">
        <f>AVERAGE([1]Weekly!$F34:$F37)</f>
        <v>3033.8150000000001</v>
      </c>
      <c r="I5" s="52">
        <f>AVERAGE([1]Weekly!$F87:$F90)</f>
        <v>4531.5724999999993</v>
      </c>
      <c r="J5" s="52">
        <f>AVERAGE([1]Weekly!$F139:$F142)</f>
        <v>4350.2650000000003</v>
      </c>
      <c r="K5" s="52">
        <f>AVERAGE([1]Weekly!$F191:$F194)</f>
        <v>5129.1399999999994</v>
      </c>
      <c r="L5" s="52">
        <f>AVERAGE([1]Weekly!$F243:$F244)</f>
        <v>6148.29</v>
      </c>
    </row>
    <row r="6" spans="1:12" x14ac:dyDescent="0.25">
      <c r="A6" t="s">
        <v>176</v>
      </c>
      <c r="B6" s="52">
        <f>SUM([1]Weekly!$F38:$F42)</f>
        <v>12757.16</v>
      </c>
      <c r="C6" s="52">
        <f>SUM([1]Weekly!$F91:$F94)</f>
        <v>17786.48</v>
      </c>
      <c r="D6" s="52">
        <f>SUM([1]Weekly!$F143:$F146)</f>
        <v>19285.310000000001</v>
      </c>
      <c r="E6" s="52">
        <f>SUM([1]Weekly!$F195:$F198)</f>
        <v>29270.42</v>
      </c>
      <c r="H6" s="52">
        <f>AVERAGE([1]Weekly!$F38:$F42)</f>
        <v>2551.4319999999998</v>
      </c>
      <c r="I6" s="52">
        <f>AVERAGE([1]Weekly!$F91:$F94)</f>
        <v>4446.62</v>
      </c>
      <c r="J6" s="52">
        <f>AVERAGE([1]Weekly!$F143:$F146)</f>
        <v>4821.3275000000003</v>
      </c>
      <c r="K6" s="52">
        <f>AVERAGE([1]Weekly!$F195:$F198)</f>
        <v>7317.6049999999996</v>
      </c>
    </row>
    <row r="7" spans="1:12" x14ac:dyDescent="0.25">
      <c r="A7" t="s">
        <v>177</v>
      </c>
      <c r="B7" s="52">
        <f>SUM([1]Weekly!$F43:$F46)</f>
        <v>13309.36</v>
      </c>
      <c r="C7" s="52">
        <f>SUM([1]Weekly!$F95:$F98)</f>
        <v>18408.600000000002</v>
      </c>
      <c r="D7" s="52">
        <f>SUM([1]Weekly!$F147:$F150)</f>
        <v>23508.18</v>
      </c>
      <c r="E7" s="52">
        <f>SUM([1]Weekly!$F199:$F203)</f>
        <v>33541.229999999996</v>
      </c>
      <c r="H7" s="52">
        <f>AVERAGE([1]Weekly!$F43:$F46)</f>
        <v>3327.34</v>
      </c>
      <c r="I7" s="52">
        <f>AVERAGE([1]Weekly!$F95:$F98)</f>
        <v>4602.1500000000005</v>
      </c>
      <c r="J7" s="52">
        <f>AVERAGE([1]Weekly!$F147:$F150)</f>
        <v>5877.0450000000001</v>
      </c>
      <c r="K7" s="52">
        <f>AVERAGE([1]Weekly!$F199:$F203)</f>
        <v>6708.2459999999992</v>
      </c>
    </row>
    <row r="8" spans="1:12" x14ac:dyDescent="0.25">
      <c r="A8" t="s">
        <v>178</v>
      </c>
      <c r="B8" s="52">
        <f>SUM([1]Weekly!$F47:$F51)</f>
        <v>15131.289299999999</v>
      </c>
      <c r="C8" s="52">
        <f>SUM([1]Weekly!$F99:$F103)</f>
        <v>20283.88</v>
      </c>
      <c r="D8" s="52">
        <f>SUM([1]Weekly!$F151:$F155)</f>
        <v>21219.689999999995</v>
      </c>
      <c r="E8" s="52">
        <f>SUM([1]Weekly!$F204:$F207)</f>
        <v>22752.510000000002</v>
      </c>
      <c r="H8" s="52">
        <f>AVERAGE([1]Weekly!$F47:$F51)</f>
        <v>3026.2578599999997</v>
      </c>
      <c r="I8" s="52">
        <f>AVERAGE([1]Weekly!$F99:$F103)</f>
        <v>4056.7760000000003</v>
      </c>
      <c r="J8" s="52">
        <f>AVERAGE([1]Weekly!$F151:$F155)</f>
        <v>4243.9379999999992</v>
      </c>
      <c r="K8" s="52">
        <f>AVERAGE([1]Weekly!$F204:$F207)</f>
        <v>5688.1275000000005</v>
      </c>
    </row>
    <row r="9" spans="1:12" x14ac:dyDescent="0.25">
      <c r="A9" t="s">
        <v>179</v>
      </c>
      <c r="B9" s="52">
        <f>SUM([1]Weekly!$F52:$F55)</f>
        <v>10233.64</v>
      </c>
      <c r="C9" s="52">
        <f>SUM([1]Weekly!$F104:$F107)</f>
        <v>14154.06</v>
      </c>
      <c r="D9" s="52">
        <f>SUM([1]Weekly!$F156:$F159)</f>
        <v>15912.86</v>
      </c>
      <c r="E9" s="52">
        <f>SUM([1]Weekly!$F208:$F211)</f>
        <v>17589.04</v>
      </c>
      <c r="H9" s="52">
        <f>AVERAGE([1]Weekly!$F52:$F55)</f>
        <v>2558.41</v>
      </c>
      <c r="I9" s="52">
        <f>AVERAGE([1]Weekly!$F104:$F107)</f>
        <v>3538.5149999999999</v>
      </c>
      <c r="J9" s="52">
        <f>AVERAGE([1]Weekly!$F156:$F159)</f>
        <v>3978.2150000000001</v>
      </c>
      <c r="K9" s="52">
        <f>AVERAGE([1]Weekly!$F208:$F211)</f>
        <v>4397.26</v>
      </c>
    </row>
    <row r="10" spans="1:12" x14ac:dyDescent="0.25">
      <c r="A10" t="s">
        <v>180</v>
      </c>
      <c r="B10" s="52">
        <f>SUM([1]Weekly!$F56:$F59)</f>
        <v>8492.73</v>
      </c>
      <c r="C10" s="52">
        <f>SUM([1]Weekly!$F108:$F111)</f>
        <v>9308.01</v>
      </c>
      <c r="D10" s="52">
        <f>SUM([1]Weekly!$F160:$F164)</f>
        <v>19064.05</v>
      </c>
      <c r="E10" s="52">
        <f>SUM([1]Weekly!$F212:$F216)</f>
        <v>21913.01</v>
      </c>
      <c r="H10" s="52">
        <f>AVERAGE([1]Weekly!$F56:$F59)</f>
        <v>2123.1824999999999</v>
      </c>
      <c r="I10" s="52">
        <f>AVERAGE([1]Weekly!$F108:$F111)</f>
        <v>2327.0025000000001</v>
      </c>
      <c r="J10" s="52">
        <f>AVERAGE([1]Weekly!$F160:$F164)</f>
        <v>3812.81</v>
      </c>
      <c r="K10" s="52">
        <f>AVERAGE([1]Weekly!$F212:$F216)</f>
        <v>4382.6019999999999</v>
      </c>
    </row>
    <row r="11" spans="1:12" x14ac:dyDescent="0.25">
      <c r="A11" t="s">
        <v>181</v>
      </c>
      <c r="B11" s="52">
        <f>SUM([1]Weekly!$F60:$F64)</f>
        <v>13424.529999999999</v>
      </c>
      <c r="C11" s="52">
        <f>SUM([1]Weekly!$F112:$F116)</f>
        <v>17341.82</v>
      </c>
      <c r="D11" s="52">
        <f>SUM([1]Weekly!$F165:$F168)</f>
        <v>14888.529999999999</v>
      </c>
      <c r="E11" s="52">
        <f>SUM([1]Weekly!$F217:$F220)</f>
        <v>18488.870000000003</v>
      </c>
      <c r="H11" s="52">
        <f>AVERAGE([1]Weekly!$F60:$F64)</f>
        <v>2684.9059999999999</v>
      </c>
      <c r="I11" s="52">
        <f>AVERAGE([1]Weekly!$F112:$F116)</f>
        <v>3468.364</v>
      </c>
      <c r="J11" s="52">
        <f>AVERAGE([1]Weekly!$F165:$F168)</f>
        <v>3722.1324999999997</v>
      </c>
      <c r="K11" s="52">
        <f>AVERAGE([1]Weekly!$F217:$F220)</f>
        <v>4622.2175000000007</v>
      </c>
    </row>
    <row r="12" spans="1:12" x14ac:dyDescent="0.25">
      <c r="A12" t="s">
        <v>182</v>
      </c>
      <c r="B12" s="52">
        <f>SUM([1]Weekly!$F65:$F68)</f>
        <v>9334.4500000000007</v>
      </c>
      <c r="C12" s="52">
        <f>SUM([1]Weekly!$F117:$F120)</f>
        <v>13070.07</v>
      </c>
      <c r="D12" s="52">
        <f>SUM([1]Weekly!$F169:$F172)</f>
        <v>18549.870000000003</v>
      </c>
      <c r="E12" s="52">
        <f>SUM([1]Weekly!$F221:$F225)</f>
        <v>23463.39</v>
      </c>
      <c r="H12" s="52">
        <f>AVERAGE([1]Weekly!$F65:$F68)</f>
        <v>2333.6125000000002</v>
      </c>
      <c r="I12" s="52">
        <f>AVERAGE([1]Weekly!$F117:$F120)</f>
        <v>3267.5174999999999</v>
      </c>
      <c r="J12" s="52">
        <f>AVERAGE([1]Weekly!$F169:$F172)</f>
        <v>4637.4675000000007</v>
      </c>
      <c r="K12" s="52">
        <f>AVERAGE([1]Weekly!$F221:$F225)</f>
        <v>4692.6779999999999</v>
      </c>
    </row>
    <row r="13" spans="1:12" x14ac:dyDescent="0.25">
      <c r="A13" t="s">
        <v>183</v>
      </c>
      <c r="B13" s="52">
        <f>SUM([1]Weekly!$F69:$F72)</f>
        <v>12017.789999999999</v>
      </c>
      <c r="C13" s="52">
        <f>SUM([1]Weekly!$F121:$F125)</f>
        <v>18520.62</v>
      </c>
      <c r="D13" s="52">
        <f>SUM([1]Weekly!$F173:$F177)</f>
        <v>22555.67</v>
      </c>
      <c r="E13" s="52">
        <f>SUM([1]Weekly!$F226:$F229)</f>
        <v>28550.7</v>
      </c>
      <c r="H13" s="52">
        <f>AVERAGE([1]Weekly!$F69:$F72)</f>
        <v>3004.4474999999998</v>
      </c>
      <c r="I13" s="52">
        <f>AVERAGE([1]Weekly!$F121:$F125)</f>
        <v>3704.1239999999998</v>
      </c>
      <c r="J13" s="52">
        <f>AVERAGE([1]Weekly!$F173:$F177)</f>
        <v>4511.134</v>
      </c>
      <c r="K13" s="52">
        <f>AVERAGE([1]Weekly!$F226:$F229)</f>
        <v>7137.6750000000002</v>
      </c>
    </row>
    <row r="14" spans="1:12" x14ac:dyDescent="0.25">
      <c r="A14" t="s">
        <v>184</v>
      </c>
      <c r="B14" s="52">
        <f>SUM([1]Weekly!$F73:$F77)</f>
        <v>12279.59</v>
      </c>
      <c r="C14" s="52">
        <f>SUM([1]Weekly!$F126:$F129)</f>
        <v>13817.24</v>
      </c>
      <c r="D14" s="52">
        <f>SUM([1]Weekly!$F178:$F181)</f>
        <v>13328.81</v>
      </c>
      <c r="E14" s="52">
        <f>SUM([1]Weekly!$F230:$F233)</f>
        <v>19604.760000000002</v>
      </c>
      <c r="H14" s="52">
        <f>AVERAGE([1]Weekly!$F73:$F77)</f>
        <v>2455.9180000000001</v>
      </c>
      <c r="I14" s="52">
        <f>AVERAGE([1]Weekly!$F126:$F129)</f>
        <v>3454.31</v>
      </c>
      <c r="J14" s="52">
        <f>AVERAGE([1]Weekly!$F178:$F181)</f>
        <v>3332.2024999999999</v>
      </c>
      <c r="K14" s="52">
        <f>AVERAGE([1]Weekly!$F230:$F233)</f>
        <v>4901.1900000000005</v>
      </c>
    </row>
    <row r="15" spans="1:12" x14ac:dyDescent="0.25">
      <c r="A15" t="s">
        <v>185</v>
      </c>
      <c r="B15" s="52">
        <f>SUM([1]Weekly!$F78:$F81)</f>
        <v>7558.26</v>
      </c>
      <c r="C15" s="52">
        <f>SUM([1]Weekly!$F130:$F133)</f>
        <v>10094.4</v>
      </c>
      <c r="D15" s="52">
        <f>SUM([1]Weekly!$F182:$F185)</f>
        <v>10271.17</v>
      </c>
      <c r="E15" s="52">
        <f>SUM([1]Weekly!$F234:$F238)</f>
        <v>22763.35</v>
      </c>
      <c r="H15" s="52">
        <f>AVERAGE([1]Weekly!$F78:$F81)</f>
        <v>1889.5650000000001</v>
      </c>
      <c r="I15" s="52">
        <f>AVERAGE([1]Weekly!$F130:$F133)</f>
        <v>2523.6</v>
      </c>
      <c r="J15" s="52">
        <f>AVERAGE([1]Weekly!$F182:$F185)</f>
        <v>2567.7925</v>
      </c>
      <c r="K15" s="52">
        <f>AVERAGE([1]Weekly!$F234:$F238)</f>
        <v>4552.67</v>
      </c>
    </row>
    <row r="17" spans="2:12" x14ac:dyDescent="0.25">
      <c r="B17" s="52">
        <f>SUM(B4:B15)</f>
        <v>133583.63929999998</v>
      </c>
      <c r="C17" s="52">
        <f>SUM(C4:C15)</f>
        <v>186721.66999999998</v>
      </c>
      <c r="D17" s="52">
        <f>SUM(D4:D15)</f>
        <v>210236.72</v>
      </c>
      <c r="E17" s="52">
        <f>SUM(E4:E15)</f>
        <v>281034.92</v>
      </c>
      <c r="H17" s="52">
        <f>AVERAGE(H4:H15)</f>
        <v>2559.6901133333331</v>
      </c>
      <c r="I17" s="52">
        <f>AVERAGE(I4:I15)</f>
        <v>3590.2159583333337</v>
      </c>
      <c r="J17" s="52">
        <f>AVERAGE(J4:J15)</f>
        <v>4058.719458333333</v>
      </c>
      <c r="K17" s="52">
        <f>AVERAGE(K4:K15)</f>
        <v>5337.1355833333337</v>
      </c>
      <c r="L17" s="52">
        <f>AVERAGE(L4:L15)</f>
        <v>4697.5625</v>
      </c>
    </row>
    <row r="18" spans="2:12" x14ac:dyDescent="0.25">
      <c r="H18" s="52">
        <f>AVERAGE([1]Weekly!$F30:$F81)</f>
        <v>2568.9161403846151</v>
      </c>
      <c r="I18" s="52">
        <f>AVERAGE([1]Weekly!$F82:$F133)</f>
        <v>3590.8013461538449</v>
      </c>
      <c r="J18" s="52">
        <f>AVERAGE([1]Weekly!$F134:$F185)</f>
        <v>4043.0138461538477</v>
      </c>
      <c r="K18" s="52">
        <f>AVERAGE([1]Weekly!$F186:$F238)</f>
        <v>5302.54566037736</v>
      </c>
      <c r="L18" s="52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N48"/>
  <sheetViews>
    <sheetView workbookViewId="0">
      <selection activeCell="E14" sqref="E14"/>
    </sheetView>
  </sheetViews>
  <sheetFormatPr defaultColWidth="2.7109375" defaultRowHeight="15" x14ac:dyDescent="0.25"/>
  <sheetData>
    <row r="1" spans="1:36" x14ac:dyDescent="0.25">
      <c r="A1" s="325" t="s">
        <v>186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</row>
    <row r="2" spans="1:36" x14ac:dyDescent="0.25">
      <c r="A2" s="325"/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56"/>
      <c r="T2" s="56"/>
      <c r="U2" s="56"/>
      <c r="V2" s="56"/>
      <c r="W2" s="56"/>
      <c r="X2" s="56"/>
      <c r="Y2" s="56"/>
      <c r="Z2" s="326" t="s">
        <v>187</v>
      </c>
      <c r="AA2" s="326"/>
      <c r="AB2" s="326"/>
      <c r="AC2" s="326"/>
      <c r="AD2" s="326"/>
      <c r="AE2" s="326"/>
      <c r="AF2" s="326"/>
      <c r="AG2" s="326"/>
      <c r="AH2" s="326"/>
      <c r="AI2" s="326"/>
      <c r="AJ2" s="56"/>
    </row>
    <row r="3" spans="1:36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56"/>
    </row>
    <row r="4" spans="1:36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</row>
    <row r="5" spans="1:36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7" t="s">
        <v>188</v>
      </c>
      <c r="AD5" s="327">
        <f ca="1">NOW()</f>
        <v>43182.785357638888</v>
      </c>
      <c r="AE5" s="327"/>
      <c r="AF5" s="327"/>
      <c r="AG5" s="327"/>
      <c r="AH5" s="56"/>
      <c r="AI5" s="56"/>
      <c r="AJ5" s="56"/>
    </row>
    <row r="6" spans="1:36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7" t="s">
        <v>189</v>
      </c>
      <c r="AD6" s="328">
        <v>1610</v>
      </c>
      <c r="AE6" s="328"/>
      <c r="AF6" s="328"/>
      <c r="AG6" s="328"/>
      <c r="AH6" s="56"/>
      <c r="AI6" s="56"/>
      <c r="AJ6" s="56"/>
    </row>
    <row r="7" spans="1:36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</row>
    <row r="8" spans="1:36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x14ac:dyDescent="0.25">
      <c r="A11" s="58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6"/>
    </row>
    <row r="12" spans="1:36" x14ac:dyDescent="0.25">
      <c r="A12" s="56" t="s">
        <v>190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</row>
    <row r="13" spans="1:36" ht="15.75" x14ac:dyDescent="0.3">
      <c r="A13" s="56"/>
      <c r="B13" s="59" t="s">
        <v>191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9" t="s">
        <v>192</v>
      </c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</row>
    <row r="14" spans="1:36" x14ac:dyDescent="0.25">
      <c r="A14" s="56"/>
      <c r="B14" s="56"/>
      <c r="C14" s="56"/>
      <c r="D14" s="56"/>
      <c r="E14" s="60" t="s">
        <v>193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 t="str">
        <f>+E14</f>
        <v>Cash Customer</v>
      </c>
      <c r="AB14" s="56"/>
      <c r="AC14" s="56"/>
      <c r="AD14" s="56"/>
      <c r="AE14" s="56"/>
      <c r="AF14" s="56"/>
      <c r="AG14" s="56"/>
      <c r="AH14" s="56"/>
      <c r="AI14" s="56"/>
      <c r="AJ14" s="56"/>
    </row>
    <row r="15" spans="1:36" x14ac:dyDescent="0.25">
      <c r="A15" s="56"/>
      <c r="B15" s="56"/>
      <c r="C15" s="56"/>
      <c r="D15" s="56"/>
      <c r="E15" s="60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</row>
    <row r="16" spans="1:36" x14ac:dyDescent="0.25">
      <c r="A16" s="56"/>
      <c r="B16" s="56"/>
      <c r="C16" s="56"/>
      <c r="D16" s="56"/>
      <c r="E16" s="60" t="s">
        <v>194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 t="str">
        <f>+E16</f>
        <v>Texas</v>
      </c>
      <c r="AB16" s="56"/>
      <c r="AC16" s="56"/>
      <c r="AD16" s="56"/>
      <c r="AE16" s="56"/>
      <c r="AF16" s="56"/>
      <c r="AG16" s="56"/>
      <c r="AH16" s="56"/>
      <c r="AI16" s="56"/>
      <c r="AJ16" s="56"/>
    </row>
    <row r="17" spans="1:40" x14ac:dyDescent="0.25">
      <c r="A17" s="56"/>
      <c r="B17" s="56"/>
      <c r="C17" s="56"/>
      <c r="D17" s="56"/>
      <c r="E17" s="56" t="s">
        <v>195</v>
      </c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 t="str">
        <f>+E17</f>
        <v>USA</v>
      </c>
      <c r="AB17" s="56"/>
      <c r="AC17" s="56"/>
      <c r="AD17" s="56"/>
      <c r="AE17" s="56"/>
      <c r="AF17" s="56"/>
      <c r="AG17" s="56"/>
      <c r="AH17" s="56"/>
      <c r="AI17" s="56"/>
      <c r="AJ17" s="56"/>
    </row>
    <row r="18" spans="1:40" x14ac:dyDescent="0.25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M18" s="53"/>
      <c r="AN18" s="53"/>
    </row>
    <row r="19" spans="1:40" x14ac:dyDescent="0.25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M19" s="53"/>
      <c r="AN19" s="53"/>
    </row>
    <row r="20" spans="1:40" s="62" customFormat="1" ht="12.75" x14ac:dyDescent="0.2">
      <c r="A20" s="307" t="s">
        <v>196</v>
      </c>
      <c r="B20" s="308"/>
      <c r="C20" s="308"/>
      <c r="D20" s="309"/>
      <c r="E20" s="307" t="s">
        <v>197</v>
      </c>
      <c r="F20" s="308"/>
      <c r="G20" s="308"/>
      <c r="H20" s="308"/>
      <c r="I20" s="308"/>
      <c r="J20" s="308"/>
      <c r="K20" s="308"/>
      <c r="L20" s="309"/>
      <c r="M20" s="307" t="s">
        <v>198</v>
      </c>
      <c r="N20" s="308"/>
      <c r="O20" s="308"/>
      <c r="P20" s="308"/>
      <c r="Q20" s="308"/>
      <c r="R20" s="308"/>
      <c r="S20" s="309"/>
      <c r="T20" s="307" t="s">
        <v>199</v>
      </c>
      <c r="U20" s="308"/>
      <c r="V20" s="308"/>
      <c r="W20" s="308"/>
      <c r="X20" s="309"/>
      <c r="Y20" s="307" t="s">
        <v>5</v>
      </c>
      <c r="Z20" s="308"/>
      <c r="AA20" s="308"/>
      <c r="AB20" s="308"/>
      <c r="AC20" s="309"/>
      <c r="AD20" s="307" t="s">
        <v>200</v>
      </c>
      <c r="AE20" s="308"/>
      <c r="AF20" s="308"/>
      <c r="AG20" s="308"/>
      <c r="AH20" s="308"/>
      <c r="AI20" s="309"/>
      <c r="AJ20" s="61"/>
      <c r="AM20" s="63"/>
      <c r="AN20" s="63"/>
    </row>
    <row r="21" spans="1:40" x14ac:dyDescent="0.25">
      <c r="A21" s="329"/>
      <c r="B21" s="323"/>
      <c r="C21" s="323"/>
      <c r="D21" s="324"/>
      <c r="E21" s="329" t="s">
        <v>201</v>
      </c>
      <c r="F21" s="323"/>
      <c r="G21" s="323"/>
      <c r="H21" s="323"/>
      <c r="I21" s="323"/>
      <c r="J21" s="323"/>
      <c r="K21" s="323"/>
      <c r="L21" s="324"/>
      <c r="M21" s="329"/>
      <c r="N21" s="323"/>
      <c r="O21" s="323"/>
      <c r="P21" s="323"/>
      <c r="Q21" s="323"/>
      <c r="R21" s="323"/>
      <c r="S21" s="324"/>
      <c r="T21" s="329"/>
      <c r="U21" s="323"/>
      <c r="V21" s="323"/>
      <c r="W21" s="323"/>
      <c r="X21" s="324"/>
      <c r="Y21" s="329" t="s">
        <v>50</v>
      </c>
      <c r="Z21" s="323"/>
      <c r="AA21" s="323"/>
      <c r="AB21" s="323"/>
      <c r="AC21" s="324"/>
      <c r="AD21" s="322"/>
      <c r="AE21" s="323"/>
      <c r="AF21" s="323"/>
      <c r="AG21" s="323"/>
      <c r="AH21" s="323"/>
      <c r="AI21" s="324"/>
      <c r="AJ21" s="56"/>
      <c r="AM21" s="53"/>
      <c r="AN21" s="53"/>
    </row>
    <row r="22" spans="1:40" x14ac:dyDescent="0.25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M22" s="53"/>
      <c r="AN22" s="53"/>
    </row>
    <row r="23" spans="1:40" s="62" customFormat="1" ht="12.75" x14ac:dyDescent="0.2">
      <c r="A23" s="307" t="s">
        <v>202</v>
      </c>
      <c r="B23" s="308"/>
      <c r="C23" s="308"/>
      <c r="D23" s="309"/>
      <c r="E23" s="307" t="s">
        <v>203</v>
      </c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9"/>
      <c r="T23" s="307" t="s">
        <v>204</v>
      </c>
      <c r="U23" s="308"/>
      <c r="V23" s="308"/>
      <c r="W23" s="308"/>
      <c r="X23" s="309"/>
      <c r="Y23" s="307" t="s">
        <v>205</v>
      </c>
      <c r="Z23" s="308"/>
      <c r="AA23" s="308"/>
      <c r="AB23" s="308"/>
      <c r="AC23" s="309"/>
      <c r="AD23" s="307" t="s">
        <v>206</v>
      </c>
      <c r="AE23" s="308"/>
      <c r="AF23" s="308"/>
      <c r="AG23" s="308"/>
      <c r="AH23" s="308"/>
      <c r="AI23" s="309"/>
      <c r="AJ23" s="61"/>
      <c r="AM23" s="63"/>
      <c r="AN23" s="63"/>
    </row>
    <row r="24" spans="1:40" x14ac:dyDescent="0.25">
      <c r="A24" s="310">
        <v>123</v>
      </c>
      <c r="B24" s="311"/>
      <c r="C24" s="311"/>
      <c r="D24" s="312"/>
      <c r="E24" s="313" t="s">
        <v>207</v>
      </c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5"/>
      <c r="T24" s="316">
        <v>1</v>
      </c>
      <c r="U24" s="317"/>
      <c r="V24" s="317"/>
      <c r="W24" s="317"/>
      <c r="X24" s="64"/>
      <c r="Y24" s="318">
        <v>25</v>
      </c>
      <c r="Z24" s="319"/>
      <c r="AA24" s="319"/>
      <c r="AB24" s="319"/>
      <c r="AC24" s="65"/>
      <c r="AD24" s="320">
        <f>+T24*Y24</f>
        <v>25</v>
      </c>
      <c r="AE24" s="321"/>
      <c r="AF24" s="321"/>
      <c r="AG24" s="321"/>
      <c r="AH24" s="321"/>
      <c r="AI24" s="65"/>
      <c r="AJ24" s="56"/>
    </row>
    <row r="25" spans="1:40" x14ac:dyDescent="0.25">
      <c r="A25" s="283">
        <v>456</v>
      </c>
      <c r="B25" s="284"/>
      <c r="C25" s="284"/>
      <c r="D25" s="285"/>
      <c r="E25" s="283" t="s">
        <v>208</v>
      </c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5"/>
      <c r="T25" s="286">
        <v>2</v>
      </c>
      <c r="U25" s="287"/>
      <c r="V25" s="287"/>
      <c r="W25" s="287"/>
      <c r="X25" s="66"/>
      <c r="Y25" s="288">
        <v>15</v>
      </c>
      <c r="Z25" s="289"/>
      <c r="AA25" s="289"/>
      <c r="AB25" s="289"/>
      <c r="AC25" s="67"/>
      <c r="AD25" s="290">
        <f>+T25*Y25</f>
        <v>30</v>
      </c>
      <c r="AE25" s="291"/>
      <c r="AF25" s="291"/>
      <c r="AG25" s="291"/>
      <c r="AH25" s="291"/>
      <c r="AI25" s="67"/>
      <c r="AJ25" s="56"/>
    </row>
    <row r="26" spans="1:40" x14ac:dyDescent="0.25">
      <c r="A26" s="283"/>
      <c r="B26" s="284"/>
      <c r="C26" s="284"/>
      <c r="D26" s="285"/>
      <c r="E26" s="283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5"/>
      <c r="T26" s="286"/>
      <c r="U26" s="287"/>
      <c r="V26" s="287"/>
      <c r="W26" s="287"/>
      <c r="X26" s="66"/>
      <c r="Y26" s="288"/>
      <c r="Z26" s="289"/>
      <c r="AA26" s="289"/>
      <c r="AB26" s="289"/>
      <c r="AC26" s="67"/>
      <c r="AD26" s="290">
        <f t="shared" ref="AD26:AD34" si="0">+T26*Y26</f>
        <v>0</v>
      </c>
      <c r="AE26" s="291"/>
      <c r="AF26" s="291"/>
      <c r="AG26" s="291"/>
      <c r="AH26" s="291"/>
      <c r="AI26" s="67"/>
      <c r="AJ26" s="56"/>
    </row>
    <row r="27" spans="1:40" x14ac:dyDescent="0.25">
      <c r="A27" s="283"/>
      <c r="B27" s="284"/>
      <c r="C27" s="284"/>
      <c r="D27" s="285"/>
      <c r="E27" s="283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5"/>
      <c r="T27" s="286"/>
      <c r="U27" s="287"/>
      <c r="V27" s="287"/>
      <c r="W27" s="287"/>
      <c r="X27" s="66"/>
      <c r="Y27" s="288"/>
      <c r="Z27" s="289"/>
      <c r="AA27" s="289"/>
      <c r="AB27" s="289"/>
      <c r="AC27" s="67"/>
      <c r="AD27" s="290">
        <f>+Y27</f>
        <v>0</v>
      </c>
      <c r="AE27" s="291"/>
      <c r="AF27" s="291"/>
      <c r="AG27" s="291"/>
      <c r="AH27" s="291"/>
      <c r="AI27" s="67"/>
      <c r="AJ27" s="56"/>
    </row>
    <row r="28" spans="1:40" x14ac:dyDescent="0.25">
      <c r="A28" s="283"/>
      <c r="B28" s="284"/>
      <c r="C28" s="284"/>
      <c r="D28" s="285"/>
      <c r="E28" s="283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5"/>
      <c r="T28" s="286"/>
      <c r="U28" s="287"/>
      <c r="V28" s="287"/>
      <c r="W28" s="287"/>
      <c r="X28" s="66"/>
      <c r="Y28" s="288"/>
      <c r="Z28" s="289"/>
      <c r="AA28" s="289"/>
      <c r="AB28" s="289"/>
      <c r="AC28" s="67"/>
      <c r="AD28" s="290">
        <f t="shared" si="0"/>
        <v>0</v>
      </c>
      <c r="AE28" s="291"/>
      <c r="AF28" s="291"/>
      <c r="AG28" s="291"/>
      <c r="AH28" s="291"/>
      <c r="AI28" s="67"/>
      <c r="AJ28" s="56"/>
    </row>
    <row r="29" spans="1:40" x14ac:dyDescent="0.25">
      <c r="A29" s="283"/>
      <c r="B29" s="284"/>
      <c r="C29" s="284"/>
      <c r="D29" s="285"/>
      <c r="E29" s="301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302"/>
      <c r="S29" s="303"/>
      <c r="T29" s="286"/>
      <c r="U29" s="287"/>
      <c r="V29" s="287"/>
      <c r="W29" s="287"/>
      <c r="X29" s="66"/>
      <c r="Y29" s="288"/>
      <c r="Z29" s="289"/>
      <c r="AA29" s="289"/>
      <c r="AB29" s="289"/>
      <c r="AC29" s="67"/>
      <c r="AD29" s="290">
        <v>0</v>
      </c>
      <c r="AE29" s="291"/>
      <c r="AF29" s="291"/>
      <c r="AG29" s="291"/>
      <c r="AH29" s="291"/>
      <c r="AI29" s="67"/>
      <c r="AJ29" s="56"/>
    </row>
    <row r="30" spans="1:40" x14ac:dyDescent="0.25">
      <c r="A30" s="283"/>
      <c r="B30" s="284"/>
      <c r="C30" s="284"/>
      <c r="D30" s="285"/>
      <c r="E30" s="304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6"/>
      <c r="T30" s="286"/>
      <c r="U30" s="287"/>
      <c r="V30" s="287"/>
      <c r="W30" s="287"/>
      <c r="X30" s="66"/>
      <c r="Y30" s="288"/>
      <c r="Z30" s="289"/>
      <c r="AA30" s="289"/>
      <c r="AB30" s="289"/>
      <c r="AC30" s="67"/>
      <c r="AD30" s="290">
        <f t="shared" si="0"/>
        <v>0</v>
      </c>
      <c r="AE30" s="291"/>
      <c r="AF30" s="291"/>
      <c r="AG30" s="291"/>
      <c r="AH30" s="291"/>
      <c r="AI30" s="67"/>
      <c r="AJ30" s="56"/>
    </row>
    <row r="31" spans="1:40" x14ac:dyDescent="0.25">
      <c r="A31" s="283"/>
      <c r="B31" s="284"/>
      <c r="C31" s="284"/>
      <c r="D31" s="285"/>
      <c r="E31" s="283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5"/>
      <c r="T31" s="286"/>
      <c r="U31" s="287"/>
      <c r="V31" s="287"/>
      <c r="W31" s="287"/>
      <c r="X31" s="66"/>
      <c r="Y31" s="288"/>
      <c r="Z31" s="289"/>
      <c r="AA31" s="289"/>
      <c r="AB31" s="289"/>
      <c r="AC31" s="67"/>
      <c r="AD31" s="290">
        <f t="shared" si="0"/>
        <v>0</v>
      </c>
      <c r="AE31" s="291"/>
      <c r="AF31" s="291"/>
      <c r="AG31" s="291"/>
      <c r="AH31" s="291"/>
      <c r="AI31" s="67"/>
      <c r="AJ31" s="56"/>
    </row>
    <row r="32" spans="1:40" x14ac:dyDescent="0.25">
      <c r="A32" s="283"/>
      <c r="B32" s="284"/>
      <c r="C32" s="284"/>
      <c r="D32" s="285"/>
      <c r="E32" s="283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5"/>
      <c r="T32" s="286"/>
      <c r="U32" s="287"/>
      <c r="V32" s="287"/>
      <c r="W32" s="287"/>
      <c r="X32" s="66"/>
      <c r="Y32" s="288"/>
      <c r="Z32" s="289"/>
      <c r="AA32" s="289"/>
      <c r="AB32" s="289"/>
      <c r="AC32" s="67"/>
      <c r="AD32" s="290">
        <f t="shared" si="0"/>
        <v>0</v>
      </c>
      <c r="AE32" s="291"/>
      <c r="AF32" s="291"/>
      <c r="AG32" s="291"/>
      <c r="AH32" s="291"/>
      <c r="AI32" s="67"/>
      <c r="AJ32" s="56"/>
    </row>
    <row r="33" spans="1:36" x14ac:dyDescent="0.25">
      <c r="A33" s="283"/>
      <c r="B33" s="284"/>
      <c r="C33" s="284"/>
      <c r="D33" s="285"/>
      <c r="E33" s="283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  <c r="S33" s="285"/>
      <c r="T33" s="286"/>
      <c r="U33" s="287"/>
      <c r="V33" s="287"/>
      <c r="W33" s="287"/>
      <c r="X33" s="66"/>
      <c r="Y33" s="288"/>
      <c r="Z33" s="289"/>
      <c r="AA33" s="289"/>
      <c r="AB33" s="289"/>
      <c r="AC33" s="67"/>
      <c r="AD33" s="290">
        <f t="shared" si="0"/>
        <v>0</v>
      </c>
      <c r="AE33" s="291"/>
      <c r="AF33" s="291"/>
      <c r="AG33" s="291"/>
      <c r="AH33" s="291"/>
      <c r="AI33" s="67"/>
      <c r="AJ33" s="56"/>
    </row>
    <row r="34" spans="1:36" x14ac:dyDescent="0.25">
      <c r="A34" s="283"/>
      <c r="B34" s="284"/>
      <c r="C34" s="284"/>
      <c r="D34" s="285"/>
      <c r="E34" s="283"/>
      <c r="F34" s="284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5"/>
      <c r="T34" s="286"/>
      <c r="U34" s="287"/>
      <c r="V34" s="287"/>
      <c r="W34" s="287"/>
      <c r="X34" s="66"/>
      <c r="Y34" s="288"/>
      <c r="Z34" s="289"/>
      <c r="AA34" s="289"/>
      <c r="AB34" s="289"/>
      <c r="AC34" s="67"/>
      <c r="AD34" s="290">
        <f t="shared" si="0"/>
        <v>0</v>
      </c>
      <c r="AE34" s="291"/>
      <c r="AF34" s="291"/>
      <c r="AG34" s="291"/>
      <c r="AH34" s="291"/>
      <c r="AI34" s="67"/>
      <c r="AJ34" s="56"/>
    </row>
    <row r="35" spans="1:36" x14ac:dyDescent="0.25">
      <c r="A35" s="292"/>
      <c r="B35" s="293"/>
      <c r="C35" s="293"/>
      <c r="D35" s="294"/>
      <c r="E35" s="292"/>
      <c r="F35" s="293"/>
      <c r="G35" s="293"/>
      <c r="H35" s="293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4"/>
      <c r="T35" s="295"/>
      <c r="U35" s="296"/>
      <c r="V35" s="296"/>
      <c r="W35" s="296"/>
      <c r="X35" s="68"/>
      <c r="Y35" s="297"/>
      <c r="Z35" s="298"/>
      <c r="AA35" s="298"/>
      <c r="AB35" s="298"/>
      <c r="AC35" s="69"/>
      <c r="AD35" s="299">
        <f>+T35*Y35</f>
        <v>0</v>
      </c>
      <c r="AE35" s="300"/>
      <c r="AF35" s="300"/>
      <c r="AG35" s="300"/>
      <c r="AH35" s="300"/>
      <c r="AI35" s="69"/>
      <c r="AJ35" s="56"/>
    </row>
    <row r="36" spans="1:36" ht="18" customHeight="1" x14ac:dyDescent="0.25">
      <c r="A36" s="56"/>
      <c r="B36" s="56"/>
      <c r="C36" s="70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71" t="s">
        <v>209</v>
      </c>
      <c r="AC36" s="56"/>
      <c r="AD36" s="268">
        <f>SUM(AD24:AH35)</f>
        <v>55</v>
      </c>
      <c r="AE36" s="268"/>
      <c r="AF36" s="268"/>
      <c r="AG36" s="268"/>
      <c r="AH36" s="269"/>
      <c r="AI36" s="72"/>
      <c r="AJ36" s="56"/>
    </row>
    <row r="37" spans="1:36" ht="15.75" x14ac:dyDescent="0.25">
      <c r="A37" s="56"/>
      <c r="B37" s="56"/>
      <c r="C37" s="73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71" t="s">
        <v>210</v>
      </c>
      <c r="AC37" s="56"/>
      <c r="AD37" s="268">
        <f>+AD36*0.0825</f>
        <v>4.5375000000000005</v>
      </c>
      <c r="AE37" s="268"/>
      <c r="AF37" s="268"/>
      <c r="AG37" s="268"/>
      <c r="AH37" s="269"/>
      <c r="AI37" s="72"/>
      <c r="AJ37" s="56"/>
    </row>
    <row r="38" spans="1:36" ht="15.75" x14ac:dyDescent="0.25">
      <c r="A38" s="56"/>
      <c r="B38" s="56"/>
      <c r="C38" s="7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71" t="s">
        <v>211</v>
      </c>
      <c r="AC38" s="56"/>
      <c r="AD38" s="270"/>
      <c r="AE38" s="270"/>
      <c r="AF38" s="270"/>
      <c r="AG38" s="270"/>
      <c r="AH38" s="271"/>
      <c r="AI38" s="72"/>
      <c r="AJ38" s="56"/>
    </row>
    <row r="39" spans="1:36" ht="15.75" x14ac:dyDescent="0.25">
      <c r="B39" s="56"/>
      <c r="C39" s="73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75" t="s">
        <v>212</v>
      </c>
      <c r="AC39" s="56"/>
      <c r="AD39" s="268">
        <f>SUM(AD36:AH38)</f>
        <v>59.537500000000001</v>
      </c>
      <c r="AE39" s="268"/>
      <c r="AF39" s="268"/>
      <c r="AG39" s="268"/>
      <c r="AH39" s="269"/>
      <c r="AI39" s="72"/>
      <c r="AJ39" s="56"/>
    </row>
    <row r="40" spans="1:36" x14ac:dyDescent="0.25">
      <c r="A40" s="76" t="s">
        <v>213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75" t="s">
        <v>214</v>
      </c>
      <c r="AC40" s="56"/>
      <c r="AD40" s="270"/>
      <c r="AE40" s="270"/>
      <c r="AF40" s="270"/>
      <c r="AG40" s="270"/>
      <c r="AH40" s="271"/>
      <c r="AI40" s="72"/>
      <c r="AJ40" s="56"/>
    </row>
    <row r="41" spans="1:36" ht="15.75" x14ac:dyDescent="0.25">
      <c r="A41" s="272" t="s">
        <v>215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4"/>
      <c r="V41" s="56"/>
      <c r="W41" s="56"/>
      <c r="X41" s="56"/>
      <c r="Y41" s="56"/>
      <c r="Z41" s="56"/>
      <c r="AA41" s="56"/>
      <c r="AB41" s="75" t="s">
        <v>216</v>
      </c>
      <c r="AC41" s="56"/>
      <c r="AD41" s="281">
        <f>+AD39-AD40</f>
        <v>59.537500000000001</v>
      </c>
      <c r="AE41" s="281"/>
      <c r="AF41" s="281"/>
      <c r="AG41" s="281"/>
      <c r="AH41" s="282"/>
      <c r="AI41" s="72"/>
      <c r="AJ41" s="56"/>
    </row>
    <row r="42" spans="1:36" x14ac:dyDescent="0.25">
      <c r="A42" s="275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7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</row>
    <row r="43" spans="1:36" x14ac:dyDescent="0.25">
      <c r="A43" s="275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</row>
    <row r="44" spans="1:36" x14ac:dyDescent="0.25">
      <c r="A44" s="278"/>
      <c r="B44" s="279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79"/>
      <c r="R44" s="279"/>
      <c r="S44" s="279"/>
      <c r="T44" s="279"/>
      <c r="U44" s="280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</row>
    <row r="45" spans="1:36" x14ac:dyDescent="0.25">
      <c r="A45" s="266" t="s">
        <v>217</v>
      </c>
      <c r="B45" s="266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</row>
    <row r="46" spans="1:36" x14ac:dyDescent="0.25">
      <c r="A46" s="266"/>
      <c r="B46" s="266"/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/>
      <c r="AI46" s="266"/>
      <c r="AJ46" s="266"/>
    </row>
    <row r="47" spans="1:36" x14ac:dyDescent="0.25">
      <c r="A47" s="267" t="s">
        <v>218</v>
      </c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  <c r="AA47" s="267"/>
      <c r="AB47" s="267"/>
      <c r="AC47" s="267"/>
      <c r="AD47" s="267"/>
      <c r="AE47" s="267"/>
      <c r="AF47" s="267"/>
      <c r="AG47" s="267"/>
      <c r="AH47" s="267"/>
      <c r="AI47" s="267"/>
      <c r="AJ47" s="267"/>
    </row>
    <row r="48" spans="1:36" x14ac:dyDescent="0.25">
      <c r="A48" s="267"/>
      <c r="B48" s="267"/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  <c r="AA48" s="267"/>
      <c r="AB48" s="267"/>
      <c r="AC48" s="267"/>
      <c r="AD48" s="267"/>
      <c r="AE48" s="267"/>
      <c r="AF48" s="267"/>
      <c r="AG48" s="267"/>
      <c r="AH48" s="267"/>
      <c r="AI48" s="267"/>
      <c r="AJ48" s="267"/>
    </row>
  </sheetData>
  <mergeCells count="90">
    <mergeCell ref="AD21:AI21"/>
    <mergeCell ref="A1:R2"/>
    <mergeCell ref="Z2:AI3"/>
    <mergeCell ref="AD5:AG5"/>
    <mergeCell ref="AD6:AG6"/>
    <mergeCell ref="A20:D20"/>
    <mergeCell ref="E20:L20"/>
    <mergeCell ref="M20:S20"/>
    <mergeCell ref="T20:X20"/>
    <mergeCell ref="Y20:AC20"/>
    <mergeCell ref="AD20:AI20"/>
    <mergeCell ref="A21:D21"/>
    <mergeCell ref="E21:L21"/>
    <mergeCell ref="M21:S21"/>
    <mergeCell ref="T21:X21"/>
    <mergeCell ref="Y21:AC21"/>
    <mergeCell ref="A24:D24"/>
    <mergeCell ref="E24:S24"/>
    <mergeCell ref="T24:W24"/>
    <mergeCell ref="Y24:AB24"/>
    <mergeCell ref="AD24:AH24"/>
    <mergeCell ref="A23:D23"/>
    <mergeCell ref="E23:S23"/>
    <mergeCell ref="T23:X23"/>
    <mergeCell ref="Y23:AC23"/>
    <mergeCell ref="AD23:AI23"/>
    <mergeCell ref="A26:D26"/>
    <mergeCell ref="E26:S26"/>
    <mergeCell ref="T26:W26"/>
    <mergeCell ref="Y26:AB26"/>
    <mergeCell ref="AD26:AH26"/>
    <mergeCell ref="A25:D25"/>
    <mergeCell ref="E25:S25"/>
    <mergeCell ref="T25:W25"/>
    <mergeCell ref="Y25:AB25"/>
    <mergeCell ref="AD25:AH25"/>
    <mergeCell ref="A28:D28"/>
    <mergeCell ref="E28:S28"/>
    <mergeCell ref="T28:W28"/>
    <mergeCell ref="Y28:AB28"/>
    <mergeCell ref="AD28:AH28"/>
    <mergeCell ref="A27:D27"/>
    <mergeCell ref="E27:S27"/>
    <mergeCell ref="T27:W27"/>
    <mergeCell ref="Y27:AB27"/>
    <mergeCell ref="AD27:AH27"/>
    <mergeCell ref="A30:D30"/>
    <mergeCell ref="E30:S30"/>
    <mergeCell ref="T30:W30"/>
    <mergeCell ref="Y30:AB30"/>
    <mergeCell ref="AD30:AH30"/>
    <mergeCell ref="A29:D29"/>
    <mergeCell ref="E29:S29"/>
    <mergeCell ref="T29:W29"/>
    <mergeCell ref="Y29:AB29"/>
    <mergeCell ref="AD29:AH29"/>
    <mergeCell ref="A32:D32"/>
    <mergeCell ref="E32:S32"/>
    <mergeCell ref="T32:W32"/>
    <mergeCell ref="Y32:AB32"/>
    <mergeCell ref="AD32:AH32"/>
    <mergeCell ref="A31:D31"/>
    <mergeCell ref="E31:S31"/>
    <mergeCell ref="T31:W31"/>
    <mergeCell ref="Y31:AB31"/>
    <mergeCell ref="AD31:AH31"/>
    <mergeCell ref="AD36:AH36"/>
    <mergeCell ref="A33:D33"/>
    <mergeCell ref="E33:S33"/>
    <mergeCell ref="T33:W33"/>
    <mergeCell ref="Y33:AB33"/>
    <mergeCell ref="AD33:AH33"/>
    <mergeCell ref="A34:D34"/>
    <mergeCell ref="E34:S34"/>
    <mergeCell ref="T34:W34"/>
    <mergeCell ref="Y34:AB34"/>
    <mergeCell ref="AD34:AH34"/>
    <mergeCell ref="A35:D35"/>
    <mergeCell ref="E35:S35"/>
    <mergeCell ref="T35:W35"/>
    <mergeCell ref="Y35:AB35"/>
    <mergeCell ref="AD35:AH35"/>
    <mergeCell ref="A45:AJ46"/>
    <mergeCell ref="A47:AJ48"/>
    <mergeCell ref="AD37:AH37"/>
    <mergeCell ref="AD38:AH38"/>
    <mergeCell ref="AD39:AH39"/>
    <mergeCell ref="AD40:AH40"/>
    <mergeCell ref="A41:U44"/>
    <mergeCell ref="AD41:AH41"/>
  </mergeCells>
  <conditionalFormatting sqref="AD24:AH35">
    <cfRule type="cellIs" dxfId="0" priority="1" stopIfTrue="1" operator="not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255"/>
  <sheetViews>
    <sheetView topLeftCell="A191" workbookViewId="0">
      <selection activeCell="A239" sqref="A239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s="176" customFormat="1" x14ac:dyDescent="0.2">
      <c r="A1" s="160" t="s">
        <v>0</v>
      </c>
      <c r="B1" s="175"/>
      <c r="C1" s="3">
        <f>SUM(C3:C957)</f>
        <v>23335.027500000011</v>
      </c>
      <c r="D1" s="3">
        <f>SUM(D3:D957)</f>
        <v>1537.0075000000002</v>
      </c>
      <c r="F1" s="166">
        <f>SUM(F4:F957)</f>
        <v>12194.745000000004</v>
      </c>
      <c r="G1" s="166">
        <f>SUM(G4:G957)</f>
        <v>11999.89</v>
      </c>
      <c r="H1" s="177">
        <f ca="1">TODAY()</f>
        <v>43182</v>
      </c>
      <c r="I1" s="177"/>
      <c r="J1" s="177"/>
    </row>
    <row r="2" spans="1:10" s="176" customFormat="1" x14ac:dyDescent="0.2">
      <c r="A2" s="160" t="s">
        <v>1</v>
      </c>
      <c r="B2" s="178" t="s">
        <v>2</v>
      </c>
      <c r="C2" s="179" t="s">
        <v>3</v>
      </c>
      <c r="D2" s="178" t="s">
        <v>4</v>
      </c>
      <c r="E2" s="178" t="s">
        <v>5</v>
      </c>
      <c r="H2" s="93"/>
    </row>
    <row r="3" spans="1:10" s="176" customFormat="1" x14ac:dyDescent="0.2">
      <c r="A3" s="10">
        <v>18314</v>
      </c>
      <c r="B3" s="11">
        <v>42339</v>
      </c>
      <c r="C3" s="12">
        <v>215.42000000000002</v>
      </c>
      <c r="D3" s="12">
        <v>16.420000000000002</v>
      </c>
      <c r="E3" s="15" t="s">
        <v>11</v>
      </c>
      <c r="F3" s="180"/>
      <c r="G3" s="180"/>
      <c r="H3" s="180"/>
      <c r="I3" s="180"/>
    </row>
    <row r="4" spans="1:10" s="176" customFormat="1" x14ac:dyDescent="0.2">
      <c r="A4" s="10">
        <v>18315</v>
      </c>
      <c r="B4" s="11">
        <v>42339</v>
      </c>
      <c r="C4" s="12">
        <v>230</v>
      </c>
      <c r="D4" s="12">
        <v>17.53</v>
      </c>
      <c r="E4" s="12"/>
      <c r="F4" s="181"/>
      <c r="G4" s="181"/>
      <c r="H4" s="181"/>
      <c r="I4" s="180"/>
    </row>
    <row r="5" spans="1:10" s="176" customFormat="1" x14ac:dyDescent="0.2">
      <c r="A5" s="10">
        <v>18316</v>
      </c>
      <c r="B5" s="11">
        <v>42337</v>
      </c>
      <c r="C5" s="12">
        <v>57</v>
      </c>
      <c r="D5" s="12">
        <v>4.34</v>
      </c>
      <c r="E5" s="12"/>
      <c r="H5" s="181"/>
      <c r="I5" s="180"/>
    </row>
    <row r="6" spans="1:10" s="176" customFormat="1" x14ac:dyDescent="0.2">
      <c r="A6" s="10">
        <v>18317</v>
      </c>
      <c r="B6" s="11">
        <v>42339</v>
      </c>
      <c r="C6" s="12">
        <v>0</v>
      </c>
      <c r="D6" s="12">
        <v>0</v>
      </c>
      <c r="E6" s="12"/>
      <c r="H6" s="181"/>
      <c r="I6" s="180"/>
    </row>
    <row r="7" spans="1:10" s="176" customFormat="1" x14ac:dyDescent="0.2">
      <c r="A7" s="10">
        <v>18318</v>
      </c>
      <c r="B7" s="11">
        <v>42339</v>
      </c>
      <c r="C7" s="12">
        <v>5.36</v>
      </c>
      <c r="D7" s="12">
        <v>0.41</v>
      </c>
      <c r="E7" s="12"/>
      <c r="F7" s="18"/>
      <c r="G7" s="19"/>
      <c r="H7" s="181"/>
      <c r="I7" s="180"/>
    </row>
    <row r="8" spans="1:10" s="176" customFormat="1" x14ac:dyDescent="0.2">
      <c r="A8" s="10">
        <v>18319</v>
      </c>
      <c r="B8" s="11">
        <v>42339</v>
      </c>
      <c r="C8" s="12">
        <v>7.58</v>
      </c>
      <c r="D8" s="12">
        <v>0.57999999999999996</v>
      </c>
      <c r="E8" s="15" t="s">
        <v>21</v>
      </c>
      <c r="F8" s="34">
        <f>+C3+495.79</f>
        <v>711.21</v>
      </c>
      <c r="G8" s="34">
        <v>698.79</v>
      </c>
      <c r="H8" s="180"/>
      <c r="I8" s="180"/>
    </row>
    <row r="9" spans="1:10" s="176" customFormat="1" x14ac:dyDescent="0.2">
      <c r="A9" s="10">
        <v>18320</v>
      </c>
      <c r="B9" s="11">
        <v>42340</v>
      </c>
      <c r="C9" s="12">
        <v>24.740000000000002</v>
      </c>
      <c r="D9" s="12">
        <v>1.89</v>
      </c>
      <c r="E9" s="17"/>
      <c r="F9" s="18"/>
      <c r="G9" s="19"/>
      <c r="H9" s="181"/>
      <c r="I9" s="180"/>
    </row>
    <row r="10" spans="1:10" s="176" customFormat="1" x14ac:dyDescent="0.2">
      <c r="A10" s="10">
        <v>18321</v>
      </c>
      <c r="B10" s="11">
        <v>42340</v>
      </c>
      <c r="C10" s="12">
        <v>35.67</v>
      </c>
      <c r="D10" s="12">
        <v>2.72</v>
      </c>
      <c r="E10" s="17"/>
      <c r="F10" s="18"/>
      <c r="G10" s="19"/>
      <c r="H10" s="181"/>
      <c r="I10" s="180"/>
    </row>
    <row r="11" spans="1:10" s="176" customFormat="1" x14ac:dyDescent="0.2">
      <c r="A11" s="10">
        <v>18322</v>
      </c>
      <c r="B11" s="11">
        <v>42340</v>
      </c>
      <c r="C11" s="12">
        <v>117.99</v>
      </c>
      <c r="D11" s="12">
        <v>8.99</v>
      </c>
      <c r="E11" s="17"/>
      <c r="F11" s="18"/>
      <c r="G11" s="19"/>
      <c r="H11" s="181"/>
      <c r="I11" s="180"/>
    </row>
    <row r="12" spans="1:10" s="176" customFormat="1" x14ac:dyDescent="0.2">
      <c r="A12" s="10">
        <v>18323</v>
      </c>
      <c r="B12" s="11">
        <v>42340</v>
      </c>
      <c r="C12" s="12">
        <v>83.64</v>
      </c>
      <c r="D12" s="12"/>
      <c r="E12" s="15" t="s">
        <v>33</v>
      </c>
      <c r="H12" s="180"/>
      <c r="I12" s="180"/>
    </row>
    <row r="13" spans="1:10" s="176" customFormat="1" x14ac:dyDescent="0.2">
      <c r="A13" s="10">
        <v>18324</v>
      </c>
      <c r="B13" s="11">
        <v>42340</v>
      </c>
      <c r="C13" s="12">
        <v>11.97</v>
      </c>
      <c r="D13" s="12"/>
      <c r="E13" s="15" t="s">
        <v>16</v>
      </c>
      <c r="F13" s="34">
        <f>1+C12+24.5</f>
        <v>109.14</v>
      </c>
      <c r="G13" s="34">
        <v>105.18</v>
      </c>
      <c r="H13" s="180"/>
      <c r="I13" s="180"/>
    </row>
    <row r="14" spans="1:10" x14ac:dyDescent="0.2">
      <c r="A14" s="10">
        <v>18325</v>
      </c>
      <c r="B14" s="11">
        <v>42341</v>
      </c>
      <c r="C14" s="12">
        <v>27.009999999999998</v>
      </c>
      <c r="D14" s="12">
        <v>2.06</v>
      </c>
      <c r="E14" s="15"/>
      <c r="F14" s="118"/>
      <c r="G14" s="118"/>
      <c r="H14" s="118"/>
      <c r="I14" s="118"/>
      <c r="J14" s="98"/>
    </row>
    <row r="15" spans="1:10" x14ac:dyDescent="0.2">
      <c r="A15" s="10">
        <v>18326</v>
      </c>
      <c r="B15" s="11">
        <v>42341</v>
      </c>
      <c r="C15" s="12">
        <v>17.32</v>
      </c>
      <c r="D15" s="12">
        <v>1.32</v>
      </c>
      <c r="E15" s="15" t="s">
        <v>11</v>
      </c>
      <c r="H15" s="4"/>
    </row>
    <row r="16" spans="1:10" x14ac:dyDescent="0.2">
      <c r="A16" s="10">
        <v>18327</v>
      </c>
      <c r="B16" s="11">
        <v>42341</v>
      </c>
      <c r="C16" s="12">
        <v>97.43</v>
      </c>
      <c r="D16" s="12">
        <v>7.43</v>
      </c>
      <c r="E16" s="15"/>
      <c r="F16" s="21"/>
      <c r="G16" s="22"/>
      <c r="H16" s="10"/>
      <c r="I16" s="10"/>
    </row>
    <row r="17" spans="1:9" x14ac:dyDescent="0.2">
      <c r="A17" s="10">
        <v>18328</v>
      </c>
      <c r="B17" s="11">
        <v>42341</v>
      </c>
      <c r="C17" s="12">
        <v>10.83</v>
      </c>
      <c r="D17" s="12">
        <v>0.83</v>
      </c>
      <c r="E17" s="17"/>
      <c r="F17" s="18"/>
      <c r="G17" s="19"/>
      <c r="H17" s="12"/>
      <c r="I17" s="10"/>
    </row>
    <row r="18" spans="1:9" x14ac:dyDescent="0.2">
      <c r="A18" s="10">
        <v>18329</v>
      </c>
      <c r="B18" s="11">
        <v>42341</v>
      </c>
      <c r="C18" s="12">
        <v>27.009999999999998</v>
      </c>
      <c r="D18" s="12">
        <v>2.06</v>
      </c>
      <c r="E18" s="17"/>
      <c r="H18" s="12"/>
      <c r="I18" s="10"/>
    </row>
    <row r="19" spans="1:9" x14ac:dyDescent="0.2">
      <c r="A19" s="10">
        <v>18330</v>
      </c>
      <c r="B19" s="11">
        <v>42341</v>
      </c>
      <c r="C19" s="12">
        <v>433</v>
      </c>
      <c r="D19" s="12">
        <v>33</v>
      </c>
      <c r="E19" s="15" t="s">
        <v>513</v>
      </c>
      <c r="H19" s="10"/>
      <c r="I19" s="10"/>
    </row>
    <row r="20" spans="1:9" x14ac:dyDescent="0.2">
      <c r="A20" s="10">
        <v>18331</v>
      </c>
      <c r="B20" s="11">
        <v>42341</v>
      </c>
      <c r="C20" s="12">
        <v>2.11</v>
      </c>
      <c r="D20" s="12">
        <v>0.16</v>
      </c>
      <c r="E20" s="17"/>
      <c r="H20" s="12"/>
      <c r="I20" s="10"/>
    </row>
    <row r="21" spans="1:9" x14ac:dyDescent="0.2">
      <c r="A21" s="10">
        <v>18332</v>
      </c>
      <c r="B21" s="11">
        <v>42341</v>
      </c>
      <c r="C21" s="12">
        <v>97.43</v>
      </c>
      <c r="D21" s="12">
        <v>7.43</v>
      </c>
      <c r="E21" s="15" t="s">
        <v>7</v>
      </c>
      <c r="H21" s="10"/>
      <c r="I21" s="10"/>
    </row>
    <row r="22" spans="1:9" x14ac:dyDescent="0.2">
      <c r="A22" s="10">
        <v>18333</v>
      </c>
      <c r="B22" s="11">
        <v>42341</v>
      </c>
      <c r="C22" s="12">
        <v>5.36</v>
      </c>
      <c r="D22" s="12">
        <v>0.41</v>
      </c>
      <c r="E22" s="17"/>
      <c r="F22" s="18"/>
      <c r="G22" s="19"/>
      <c r="H22" s="12"/>
      <c r="I22" s="10"/>
    </row>
    <row r="23" spans="1:9" x14ac:dyDescent="0.2">
      <c r="A23" s="10">
        <v>18334</v>
      </c>
      <c r="B23" s="11">
        <v>42341</v>
      </c>
      <c r="C23" s="12">
        <v>795.64</v>
      </c>
      <c r="D23" s="12">
        <v>60.64</v>
      </c>
      <c r="E23" s="15" t="s">
        <v>26</v>
      </c>
      <c r="F23" s="21"/>
      <c r="G23" s="22"/>
      <c r="H23" s="10"/>
      <c r="I23" s="10"/>
    </row>
    <row r="24" spans="1:9" x14ac:dyDescent="0.2">
      <c r="A24" s="10">
        <v>18335</v>
      </c>
      <c r="B24" s="11">
        <v>42341</v>
      </c>
      <c r="C24" s="12">
        <v>821.62</v>
      </c>
      <c r="D24" s="12">
        <v>62.62</v>
      </c>
      <c r="E24" s="15" t="s">
        <v>26</v>
      </c>
      <c r="F24" s="34">
        <f>+C15+C21</f>
        <v>114.75</v>
      </c>
      <c r="G24" s="34">
        <v>112.82</v>
      </c>
      <c r="H24" s="10"/>
      <c r="I24" s="10"/>
    </row>
    <row r="25" spans="1:9" x14ac:dyDescent="0.2">
      <c r="A25" s="10">
        <v>18336</v>
      </c>
      <c r="B25" s="11">
        <v>42342</v>
      </c>
      <c r="C25" s="12">
        <v>83.3</v>
      </c>
      <c r="D25" s="12">
        <v>6.35</v>
      </c>
      <c r="E25" s="15" t="s">
        <v>13</v>
      </c>
      <c r="H25" s="10"/>
      <c r="I25" s="10"/>
    </row>
    <row r="26" spans="1:9" x14ac:dyDescent="0.2">
      <c r="A26" s="10">
        <v>18337</v>
      </c>
      <c r="B26" s="11">
        <v>42342</v>
      </c>
      <c r="C26" s="12">
        <v>138.51</v>
      </c>
      <c r="D26" s="12">
        <v>10.56</v>
      </c>
      <c r="E26" s="15" t="s">
        <v>11</v>
      </c>
      <c r="H26" s="10"/>
      <c r="I26" s="10"/>
    </row>
    <row r="27" spans="1:9" x14ac:dyDescent="0.2">
      <c r="A27" s="10">
        <v>18338</v>
      </c>
      <c r="B27" s="11">
        <v>42342</v>
      </c>
      <c r="C27" s="12">
        <v>16.239999999999998</v>
      </c>
      <c r="D27" s="12">
        <v>1.24</v>
      </c>
      <c r="E27" s="17"/>
      <c r="F27" s="18"/>
      <c r="G27" s="19"/>
      <c r="H27" s="12"/>
      <c r="I27" s="10"/>
    </row>
    <row r="28" spans="1:9" x14ac:dyDescent="0.2">
      <c r="A28" s="10">
        <v>18339</v>
      </c>
      <c r="B28" s="11">
        <v>42342</v>
      </c>
      <c r="C28" s="12">
        <v>16.18</v>
      </c>
      <c r="D28" s="12">
        <v>1.23</v>
      </c>
      <c r="E28" s="17"/>
      <c r="F28" s="18"/>
      <c r="G28" s="19"/>
      <c r="H28" s="12"/>
      <c r="I28" s="10"/>
    </row>
    <row r="29" spans="1:9" x14ac:dyDescent="0.2">
      <c r="A29" s="10">
        <v>18340</v>
      </c>
      <c r="B29" s="11">
        <v>42342</v>
      </c>
      <c r="C29" s="12">
        <v>14.02</v>
      </c>
      <c r="D29" s="12">
        <v>1.07</v>
      </c>
      <c r="E29" s="15" t="s">
        <v>11</v>
      </c>
      <c r="H29" s="10"/>
      <c r="I29" s="10"/>
    </row>
    <row r="30" spans="1:9" x14ac:dyDescent="0.2">
      <c r="A30" s="10">
        <v>18341</v>
      </c>
      <c r="B30" s="11">
        <v>42342</v>
      </c>
      <c r="C30" s="12">
        <v>42.2</v>
      </c>
      <c r="D30" s="12">
        <v>3.22</v>
      </c>
      <c r="E30" s="15" t="s">
        <v>514</v>
      </c>
      <c r="F30" s="21"/>
      <c r="G30" s="22"/>
      <c r="H30" s="10"/>
      <c r="I30" s="10"/>
    </row>
    <row r="31" spans="1:9" x14ac:dyDescent="0.2">
      <c r="A31" s="10">
        <v>18342</v>
      </c>
      <c r="B31" s="11">
        <v>42342</v>
      </c>
      <c r="C31" s="12">
        <v>48.71</v>
      </c>
      <c r="D31" s="12">
        <v>3.71</v>
      </c>
      <c r="E31" s="15" t="s">
        <v>515</v>
      </c>
      <c r="H31" s="10"/>
      <c r="I31" s="10"/>
    </row>
    <row r="32" spans="1:9" x14ac:dyDescent="0.2">
      <c r="A32" s="10">
        <v>18343</v>
      </c>
      <c r="B32" s="11">
        <v>42342</v>
      </c>
      <c r="C32" s="12">
        <v>45</v>
      </c>
      <c r="D32" s="12">
        <v>3.43</v>
      </c>
      <c r="E32" s="15" t="s">
        <v>419</v>
      </c>
      <c r="F32" s="21"/>
      <c r="G32" s="22"/>
      <c r="H32" s="10"/>
      <c r="I32" s="10"/>
    </row>
    <row r="33" spans="1:9" x14ac:dyDescent="0.2">
      <c r="A33" s="10">
        <v>18344</v>
      </c>
      <c r="B33" s="11">
        <v>42342</v>
      </c>
      <c r="C33" s="12">
        <v>33.950000000000003</v>
      </c>
      <c r="D33" s="12">
        <v>2.59</v>
      </c>
      <c r="E33" s="15" t="s">
        <v>11</v>
      </c>
      <c r="H33" s="10"/>
      <c r="I33" s="10"/>
    </row>
    <row r="34" spans="1:9" x14ac:dyDescent="0.2">
      <c r="A34" s="10">
        <v>18345</v>
      </c>
      <c r="B34" s="11">
        <v>42342</v>
      </c>
      <c r="C34" s="12">
        <v>16.18</v>
      </c>
      <c r="D34" s="12">
        <v>1.23</v>
      </c>
      <c r="E34" s="17"/>
      <c r="H34" s="12"/>
      <c r="I34" s="10"/>
    </row>
    <row r="35" spans="1:9" x14ac:dyDescent="0.2">
      <c r="A35" s="10">
        <v>18346</v>
      </c>
      <c r="B35" s="11">
        <v>42342</v>
      </c>
      <c r="C35" s="12">
        <v>115</v>
      </c>
      <c r="D35" s="12">
        <v>8.76</v>
      </c>
      <c r="E35" s="15" t="s">
        <v>11</v>
      </c>
      <c r="H35" s="10"/>
      <c r="I35" s="10"/>
    </row>
    <row r="36" spans="1:9" x14ac:dyDescent="0.2">
      <c r="A36" s="10">
        <v>18347</v>
      </c>
      <c r="B36" s="11">
        <v>42342</v>
      </c>
      <c r="C36" s="12">
        <v>283.07</v>
      </c>
      <c r="D36" s="12">
        <v>21.57</v>
      </c>
      <c r="E36" s="17"/>
      <c r="H36" s="12"/>
      <c r="I36" s="10"/>
    </row>
    <row r="37" spans="1:9" x14ac:dyDescent="0.2">
      <c r="A37" s="10">
        <v>18348</v>
      </c>
      <c r="B37" s="11">
        <v>42342</v>
      </c>
      <c r="C37" s="12">
        <v>9.69</v>
      </c>
      <c r="D37" s="12">
        <v>0.74</v>
      </c>
      <c r="E37" s="15" t="s">
        <v>7</v>
      </c>
      <c r="H37" s="10"/>
      <c r="I37" s="10"/>
    </row>
    <row r="38" spans="1:9" x14ac:dyDescent="0.2">
      <c r="A38" s="10">
        <v>18349</v>
      </c>
      <c r="B38" s="11">
        <v>42342</v>
      </c>
      <c r="C38" s="12">
        <v>202.36999999999998</v>
      </c>
      <c r="D38" s="12">
        <v>15.42</v>
      </c>
      <c r="E38" s="17"/>
      <c r="H38" s="12"/>
      <c r="I38" s="10"/>
    </row>
    <row r="39" spans="1:9" x14ac:dyDescent="0.2">
      <c r="A39" s="10">
        <v>18350</v>
      </c>
      <c r="B39" s="11">
        <v>42342</v>
      </c>
      <c r="C39" s="12">
        <v>36.900000000000006</v>
      </c>
      <c r="D39" s="12"/>
      <c r="E39" s="15" t="s">
        <v>16</v>
      </c>
      <c r="F39" s="34">
        <f>+C26+C29+C33+C31+214.19+C35+C37</f>
        <v>574.07000000000005</v>
      </c>
      <c r="G39" s="34">
        <v>568.64</v>
      </c>
      <c r="H39" s="10"/>
      <c r="I39" s="10"/>
    </row>
    <row r="40" spans="1:9" x14ac:dyDescent="0.2">
      <c r="A40" s="10">
        <v>18351</v>
      </c>
      <c r="B40" s="11">
        <v>42343</v>
      </c>
      <c r="C40" s="12">
        <v>9.74</v>
      </c>
      <c r="D40" s="12">
        <v>0.74</v>
      </c>
      <c r="E40" s="15" t="s">
        <v>11</v>
      </c>
      <c r="H40" s="10"/>
      <c r="I40" s="10"/>
    </row>
    <row r="41" spans="1:9" x14ac:dyDescent="0.2">
      <c r="A41" s="10">
        <v>18352</v>
      </c>
      <c r="B41" s="11">
        <v>42343</v>
      </c>
      <c r="C41" s="12">
        <v>66</v>
      </c>
      <c r="D41" s="12"/>
      <c r="E41" s="15" t="s">
        <v>11</v>
      </c>
      <c r="H41" s="10"/>
      <c r="I41" s="10"/>
    </row>
    <row r="42" spans="1:9" x14ac:dyDescent="0.2">
      <c r="A42" s="10">
        <v>18353</v>
      </c>
      <c r="B42" s="11">
        <v>42343</v>
      </c>
      <c r="C42" s="12">
        <v>58.46</v>
      </c>
      <c r="D42" s="12">
        <v>4.46</v>
      </c>
      <c r="E42" s="15" t="s">
        <v>516</v>
      </c>
      <c r="H42" s="10"/>
      <c r="I42" s="10"/>
    </row>
    <row r="43" spans="1:9" x14ac:dyDescent="0.2">
      <c r="A43" s="10">
        <v>18354</v>
      </c>
      <c r="B43" s="11">
        <v>42343</v>
      </c>
      <c r="C43" s="12">
        <v>108.78999999999999</v>
      </c>
      <c r="D43" s="12">
        <v>8.2899999999999991</v>
      </c>
      <c r="E43" s="17"/>
      <c r="H43" s="12"/>
      <c r="I43" s="10"/>
    </row>
    <row r="44" spans="1:9" x14ac:dyDescent="0.2">
      <c r="A44" s="10">
        <v>18355</v>
      </c>
      <c r="B44" s="11">
        <v>42343</v>
      </c>
      <c r="C44" s="12">
        <v>16.18</v>
      </c>
      <c r="D44" s="12">
        <v>1.23</v>
      </c>
      <c r="E44" s="15" t="s">
        <v>11</v>
      </c>
      <c r="H44" s="10"/>
      <c r="I44" s="10"/>
    </row>
    <row r="45" spans="1:9" x14ac:dyDescent="0.2">
      <c r="A45" s="10">
        <v>18356</v>
      </c>
      <c r="B45" s="11">
        <v>42343</v>
      </c>
      <c r="C45" s="12">
        <v>20.57</v>
      </c>
      <c r="D45" s="12">
        <v>1.57</v>
      </c>
      <c r="E45" s="17"/>
      <c r="F45" s="18"/>
      <c r="G45" s="19"/>
      <c r="H45" s="12"/>
      <c r="I45" s="10"/>
    </row>
    <row r="46" spans="1:9" x14ac:dyDescent="0.2">
      <c r="A46" s="10">
        <v>18357</v>
      </c>
      <c r="B46" s="11">
        <v>42343</v>
      </c>
      <c r="C46" s="12">
        <v>559.65</v>
      </c>
      <c r="D46" s="12">
        <v>42.65</v>
      </c>
      <c r="E46" s="15" t="s">
        <v>11</v>
      </c>
      <c r="F46" s="21"/>
      <c r="G46" s="22"/>
      <c r="H46" s="10"/>
      <c r="I46" s="10"/>
    </row>
    <row r="47" spans="1:9" x14ac:dyDescent="0.2">
      <c r="A47" s="10">
        <v>18358</v>
      </c>
      <c r="B47" s="11">
        <v>42343</v>
      </c>
      <c r="C47" s="12">
        <v>7</v>
      </c>
      <c r="D47" s="12">
        <v>0.53</v>
      </c>
      <c r="E47" s="17"/>
      <c r="H47" s="12"/>
      <c r="I47" s="10"/>
    </row>
    <row r="48" spans="1:9" x14ac:dyDescent="0.2">
      <c r="A48" s="10">
        <v>18359</v>
      </c>
      <c r="B48" s="11">
        <v>42343</v>
      </c>
      <c r="C48" s="12">
        <v>287.95</v>
      </c>
      <c r="D48" s="12">
        <v>21.95</v>
      </c>
      <c r="E48" s="15" t="s">
        <v>11</v>
      </c>
      <c r="H48" s="10"/>
      <c r="I48" s="10"/>
    </row>
    <row r="49" spans="1:9" x14ac:dyDescent="0.2">
      <c r="A49" s="10">
        <v>18360</v>
      </c>
      <c r="B49" s="11">
        <v>42343</v>
      </c>
      <c r="C49" s="12">
        <v>16.18</v>
      </c>
      <c r="D49" s="12">
        <v>1.23</v>
      </c>
      <c r="E49" s="17"/>
      <c r="F49" s="116"/>
      <c r="G49" s="116"/>
      <c r="H49" s="12"/>
      <c r="I49" s="10"/>
    </row>
    <row r="50" spans="1:9" x14ac:dyDescent="0.2">
      <c r="A50" s="10">
        <v>18361</v>
      </c>
      <c r="B50" s="11">
        <v>42343</v>
      </c>
      <c r="C50" s="12">
        <v>27.06</v>
      </c>
      <c r="D50" s="12">
        <v>2.06</v>
      </c>
      <c r="E50" s="15" t="s">
        <v>11</v>
      </c>
      <c r="F50" s="34">
        <f>+C40+C41+C25+C44+300+C50+C48</f>
        <v>790.23</v>
      </c>
      <c r="G50" s="34">
        <v>777.12</v>
      </c>
      <c r="H50" s="10"/>
      <c r="I50" s="10"/>
    </row>
    <row r="51" spans="1:9" x14ac:dyDescent="0.2">
      <c r="A51" s="10">
        <v>18362</v>
      </c>
      <c r="B51" s="11">
        <v>42345</v>
      </c>
      <c r="C51" s="12">
        <v>16.239999999999998</v>
      </c>
      <c r="D51" s="12">
        <v>1.24</v>
      </c>
      <c r="E51" s="15" t="s">
        <v>7</v>
      </c>
      <c r="H51" s="10"/>
      <c r="I51" s="10"/>
    </row>
    <row r="52" spans="1:9" x14ac:dyDescent="0.2">
      <c r="A52" s="10">
        <v>18363</v>
      </c>
      <c r="B52" s="11">
        <v>42345</v>
      </c>
      <c r="C52" s="12">
        <v>46.49</v>
      </c>
      <c r="D52" s="12">
        <v>3.54</v>
      </c>
      <c r="E52" s="15" t="s">
        <v>11</v>
      </c>
      <c r="F52" s="21"/>
      <c r="G52" s="22"/>
      <c r="H52" s="10"/>
      <c r="I52" s="10"/>
    </row>
    <row r="53" spans="1:9" x14ac:dyDescent="0.2">
      <c r="A53" s="10">
        <v>18364</v>
      </c>
      <c r="B53" s="11">
        <v>42345</v>
      </c>
      <c r="C53" s="12">
        <v>7.5200000000000005</v>
      </c>
      <c r="D53" s="12">
        <v>0.56999999999999995</v>
      </c>
      <c r="E53" s="17"/>
      <c r="H53" s="12"/>
      <c r="I53" s="10"/>
    </row>
    <row r="54" spans="1:9" x14ac:dyDescent="0.2">
      <c r="A54" s="10">
        <v>18365</v>
      </c>
      <c r="B54" s="11">
        <v>42345</v>
      </c>
      <c r="C54" s="12">
        <v>21.599999999999998</v>
      </c>
      <c r="D54" s="12">
        <v>1.65</v>
      </c>
      <c r="E54" s="17"/>
      <c r="F54" s="34">
        <f>+C51+C52+45</f>
        <v>107.73</v>
      </c>
      <c r="G54" s="34">
        <v>104.81</v>
      </c>
      <c r="H54" s="12"/>
      <c r="I54" s="10"/>
    </row>
    <row r="55" spans="1:9" x14ac:dyDescent="0.2">
      <c r="A55" s="10">
        <v>18366</v>
      </c>
      <c r="B55" s="11">
        <v>42346</v>
      </c>
      <c r="C55" s="12">
        <v>81.19</v>
      </c>
      <c r="D55" s="12">
        <v>6.19</v>
      </c>
      <c r="E55" s="15" t="s">
        <v>11</v>
      </c>
      <c r="H55" s="10"/>
      <c r="I55" s="10"/>
    </row>
    <row r="56" spans="1:9" x14ac:dyDescent="0.2">
      <c r="A56" s="10">
        <v>18367</v>
      </c>
      <c r="B56" s="11">
        <v>42346</v>
      </c>
      <c r="C56" s="12">
        <v>10.83</v>
      </c>
      <c r="D56" s="12">
        <v>0.83</v>
      </c>
      <c r="E56" s="15" t="s">
        <v>13</v>
      </c>
      <c r="F56" s="21"/>
      <c r="G56" s="22"/>
      <c r="H56" s="10"/>
      <c r="I56" s="10"/>
    </row>
    <row r="57" spans="1:9" x14ac:dyDescent="0.2">
      <c r="A57" s="10">
        <v>18368</v>
      </c>
      <c r="B57" s="11">
        <v>42346</v>
      </c>
      <c r="C57" s="12">
        <v>298.77</v>
      </c>
      <c r="D57" s="12">
        <v>22.77</v>
      </c>
      <c r="E57" s="15" t="s">
        <v>517</v>
      </c>
      <c r="H57" s="10"/>
      <c r="I57" s="10"/>
    </row>
    <row r="58" spans="1:9" x14ac:dyDescent="0.2">
      <c r="A58" s="10">
        <v>18369</v>
      </c>
      <c r="B58" s="11">
        <v>42346</v>
      </c>
      <c r="C58" s="12">
        <v>183.97</v>
      </c>
      <c r="D58" s="12">
        <v>14.02</v>
      </c>
      <c r="E58" s="15"/>
      <c r="H58" s="10"/>
      <c r="I58" s="10"/>
    </row>
    <row r="59" spans="1:9" x14ac:dyDescent="0.2">
      <c r="A59" s="10">
        <v>18370</v>
      </c>
      <c r="B59" s="11">
        <v>42346</v>
      </c>
      <c r="C59" s="12">
        <v>41.14</v>
      </c>
      <c r="D59" s="12">
        <v>3.14</v>
      </c>
      <c r="E59" s="17"/>
      <c r="F59" s="18"/>
      <c r="G59" s="19"/>
      <c r="H59" s="12"/>
      <c r="I59" s="10"/>
    </row>
    <row r="60" spans="1:9" x14ac:dyDescent="0.2">
      <c r="A60" s="10">
        <v>18371</v>
      </c>
      <c r="B60" s="11">
        <v>42346</v>
      </c>
      <c r="C60" s="12">
        <v>9.69</v>
      </c>
      <c r="D60" s="12">
        <v>0.74</v>
      </c>
      <c r="E60" s="17"/>
      <c r="H60" s="12"/>
      <c r="I60" s="10"/>
    </row>
    <row r="61" spans="1:9" x14ac:dyDescent="0.2">
      <c r="A61" s="10">
        <v>18372</v>
      </c>
      <c r="B61" s="11">
        <v>42346</v>
      </c>
      <c r="C61" s="12">
        <v>278.56</v>
      </c>
      <c r="D61" s="12">
        <v>18.559999999999999</v>
      </c>
      <c r="E61" s="15" t="s">
        <v>11</v>
      </c>
      <c r="H61" s="10"/>
      <c r="I61" s="10"/>
    </row>
    <row r="62" spans="1:9" x14ac:dyDescent="0.2">
      <c r="A62" s="10">
        <v>18373</v>
      </c>
      <c r="B62" s="11">
        <v>42346</v>
      </c>
      <c r="C62" s="12">
        <v>-16.239999999999998</v>
      </c>
      <c r="D62" s="12">
        <v>-1.24</v>
      </c>
      <c r="E62" s="17"/>
      <c r="F62" s="182"/>
      <c r="G62" s="182"/>
      <c r="H62" s="12"/>
      <c r="I62" s="10"/>
    </row>
    <row r="63" spans="1:9" x14ac:dyDescent="0.2">
      <c r="A63" s="10">
        <v>18374</v>
      </c>
      <c r="B63" s="11">
        <v>42346</v>
      </c>
      <c r="C63" s="12">
        <v>23.82</v>
      </c>
      <c r="D63" s="12">
        <v>1.82</v>
      </c>
      <c r="E63" s="15" t="s">
        <v>11</v>
      </c>
      <c r="F63" s="34">
        <f>153+C55+C56+200+1.44+C61+C63</f>
        <v>748.84</v>
      </c>
      <c r="G63" s="34">
        <v>731.24</v>
      </c>
      <c r="H63" s="10"/>
      <c r="I63" s="10"/>
    </row>
    <row r="64" spans="1:9" x14ac:dyDescent="0.2">
      <c r="A64" s="10">
        <v>18375</v>
      </c>
      <c r="B64" s="11">
        <v>42347</v>
      </c>
      <c r="C64" s="12">
        <v>12.5</v>
      </c>
      <c r="D64" s="12">
        <v>0.95</v>
      </c>
      <c r="E64" s="15" t="s">
        <v>7</v>
      </c>
      <c r="H64" s="10"/>
      <c r="I64" s="10"/>
    </row>
    <row r="65" spans="1:9" x14ac:dyDescent="0.2">
      <c r="A65" s="10">
        <v>18376</v>
      </c>
      <c r="B65" s="11">
        <v>42347</v>
      </c>
      <c r="C65" s="12">
        <v>96.34</v>
      </c>
      <c r="D65" s="12">
        <v>7.34</v>
      </c>
      <c r="E65" s="15" t="s">
        <v>11</v>
      </c>
      <c r="H65" s="10"/>
      <c r="I65" s="10"/>
    </row>
    <row r="66" spans="1:9" x14ac:dyDescent="0.2">
      <c r="A66" s="10">
        <v>18377</v>
      </c>
      <c r="B66" s="11">
        <v>42347</v>
      </c>
      <c r="C66" s="12">
        <v>300</v>
      </c>
      <c r="D66" s="12">
        <v>22.86</v>
      </c>
      <c r="E66" s="13"/>
      <c r="H66" s="12"/>
      <c r="I66" s="10"/>
    </row>
    <row r="67" spans="1:9" x14ac:dyDescent="0.2">
      <c r="A67" s="10">
        <v>18378</v>
      </c>
      <c r="B67" s="11">
        <v>42347</v>
      </c>
      <c r="C67" s="12">
        <v>226</v>
      </c>
      <c r="D67" s="12">
        <v>17.22</v>
      </c>
      <c r="E67" s="15" t="s">
        <v>21</v>
      </c>
      <c r="F67" s="21"/>
      <c r="G67" s="22"/>
      <c r="H67" s="10"/>
      <c r="I67" s="10"/>
    </row>
    <row r="68" spans="1:9" x14ac:dyDescent="0.2">
      <c r="A68" s="10">
        <v>18379</v>
      </c>
      <c r="B68" s="11">
        <v>42347</v>
      </c>
      <c r="C68" s="12">
        <v>25</v>
      </c>
      <c r="D68" s="12">
        <v>1.91</v>
      </c>
      <c r="E68" s="17"/>
      <c r="F68" s="34">
        <f>+C64+C65</f>
        <v>108.84</v>
      </c>
      <c r="G68" s="34">
        <v>107.92</v>
      </c>
      <c r="H68" s="12"/>
      <c r="I68" s="10"/>
    </row>
    <row r="69" spans="1:9" x14ac:dyDescent="0.2">
      <c r="A69" s="10">
        <v>18380</v>
      </c>
      <c r="B69" s="11">
        <v>42348</v>
      </c>
      <c r="C69" s="12">
        <v>14</v>
      </c>
      <c r="D69" s="12"/>
      <c r="E69" s="13" t="s">
        <v>518</v>
      </c>
      <c r="F69" s="18"/>
      <c r="G69" s="19"/>
      <c r="H69" s="12"/>
      <c r="I69" s="10"/>
    </row>
    <row r="70" spans="1:9" x14ac:dyDescent="0.2">
      <c r="A70" s="10">
        <v>18381</v>
      </c>
      <c r="B70" s="11">
        <v>42348</v>
      </c>
      <c r="C70" s="12">
        <v>184</v>
      </c>
      <c r="D70" s="12"/>
      <c r="E70" s="15" t="s">
        <v>519</v>
      </c>
      <c r="H70" s="10"/>
      <c r="I70" s="10"/>
    </row>
    <row r="71" spans="1:9" x14ac:dyDescent="0.2">
      <c r="A71" s="10">
        <v>18382</v>
      </c>
      <c r="B71" s="11">
        <v>42348</v>
      </c>
      <c r="C71" s="12">
        <v>24.9</v>
      </c>
      <c r="D71" s="12">
        <v>1.9</v>
      </c>
      <c r="E71" s="15" t="s">
        <v>7</v>
      </c>
      <c r="H71" s="10"/>
      <c r="I71" s="10"/>
    </row>
    <row r="72" spans="1:9" x14ac:dyDescent="0.2">
      <c r="A72" s="10">
        <v>18383</v>
      </c>
      <c r="B72" s="11">
        <v>42348</v>
      </c>
      <c r="C72" s="12">
        <v>182.94</v>
      </c>
      <c r="D72" s="12">
        <v>13.94</v>
      </c>
      <c r="E72" s="15" t="s">
        <v>11</v>
      </c>
      <c r="H72" s="10"/>
      <c r="I72" s="10"/>
    </row>
    <row r="73" spans="1:9" x14ac:dyDescent="0.2">
      <c r="A73" s="10">
        <v>18384</v>
      </c>
      <c r="B73" s="11">
        <v>42348</v>
      </c>
      <c r="C73" s="12">
        <v>310</v>
      </c>
      <c r="D73" s="12">
        <v>23.63</v>
      </c>
      <c r="E73" s="15" t="s">
        <v>520</v>
      </c>
      <c r="F73" s="21"/>
      <c r="G73" s="22"/>
      <c r="H73" s="10"/>
      <c r="I73" s="10"/>
    </row>
    <row r="74" spans="1:9" x14ac:dyDescent="0.2">
      <c r="A74" s="10">
        <v>18385</v>
      </c>
      <c r="B74" s="11">
        <v>42348</v>
      </c>
      <c r="C74" s="12">
        <v>10.83</v>
      </c>
      <c r="D74" s="12">
        <v>0.83</v>
      </c>
      <c r="E74" s="17"/>
      <c r="H74" s="12"/>
      <c r="I74" s="10"/>
    </row>
    <row r="75" spans="1:9" x14ac:dyDescent="0.2">
      <c r="A75" s="10">
        <v>18386</v>
      </c>
      <c r="B75" s="11">
        <v>42348</v>
      </c>
      <c r="C75" s="12">
        <v>133.15</v>
      </c>
      <c r="D75" s="12">
        <v>10.15</v>
      </c>
      <c r="E75" s="17"/>
      <c r="F75" s="18"/>
      <c r="G75" s="19"/>
      <c r="H75" s="12"/>
      <c r="I75" s="10"/>
    </row>
    <row r="76" spans="1:9" x14ac:dyDescent="0.2">
      <c r="A76" s="10">
        <v>18387</v>
      </c>
      <c r="B76" s="11">
        <v>42348</v>
      </c>
      <c r="C76" s="12">
        <v>486.04</v>
      </c>
      <c r="D76" s="12">
        <v>37.04</v>
      </c>
      <c r="E76" s="15" t="s">
        <v>7</v>
      </c>
      <c r="F76" s="21"/>
      <c r="G76" s="22"/>
      <c r="H76" s="10"/>
      <c r="I76" s="10"/>
    </row>
    <row r="77" spans="1:9" x14ac:dyDescent="0.2">
      <c r="A77" s="10">
        <v>18388</v>
      </c>
      <c r="B77" s="11">
        <v>42348</v>
      </c>
      <c r="C77" s="12">
        <v>21.65</v>
      </c>
      <c r="D77" s="12">
        <v>1.65</v>
      </c>
      <c r="E77" s="15" t="s">
        <v>11</v>
      </c>
      <c r="H77" s="10"/>
      <c r="I77" s="10"/>
    </row>
    <row r="78" spans="1:9" x14ac:dyDescent="0.2">
      <c r="A78" s="10">
        <v>18389</v>
      </c>
      <c r="B78" s="11">
        <v>42348</v>
      </c>
      <c r="C78" s="12">
        <v>70.36</v>
      </c>
      <c r="D78" s="12">
        <v>5.36</v>
      </c>
      <c r="E78" s="15" t="s">
        <v>21</v>
      </c>
      <c r="F78" s="21"/>
      <c r="G78" s="22"/>
      <c r="H78" s="10"/>
      <c r="I78" s="10"/>
    </row>
    <row r="79" spans="1:9" x14ac:dyDescent="0.2">
      <c r="A79" s="10">
        <v>18390</v>
      </c>
      <c r="B79" s="11">
        <v>42348</v>
      </c>
      <c r="C79" s="12">
        <v>14</v>
      </c>
      <c r="D79" s="12"/>
      <c r="E79" s="13" t="s">
        <v>521</v>
      </c>
      <c r="F79" s="18"/>
      <c r="G79" s="19"/>
      <c r="H79" s="12"/>
      <c r="I79" s="10"/>
    </row>
    <row r="80" spans="1:9" x14ac:dyDescent="0.2">
      <c r="A80" s="10">
        <v>18391</v>
      </c>
      <c r="B80" s="11">
        <v>42348</v>
      </c>
      <c r="C80" s="12">
        <v>231.55</v>
      </c>
      <c r="D80" s="12">
        <v>17.649999999999999</v>
      </c>
      <c r="E80" s="15" t="s">
        <v>7</v>
      </c>
      <c r="F80" s="21"/>
      <c r="G80" s="22"/>
      <c r="H80" s="10"/>
      <c r="I80" s="10"/>
    </row>
    <row r="81" spans="1:9" x14ac:dyDescent="0.2">
      <c r="A81" s="10">
        <v>18392</v>
      </c>
      <c r="B81" s="11">
        <v>42348</v>
      </c>
      <c r="C81" s="12">
        <v>178.61</v>
      </c>
      <c r="D81" s="12">
        <v>13.61</v>
      </c>
      <c r="E81" s="15" t="s">
        <v>7</v>
      </c>
      <c r="F81" s="34">
        <f>+C70+259.65+C72+125+320+C77+C80+C81+35.3</f>
        <v>1538.7</v>
      </c>
      <c r="G81" s="34">
        <v>1520.32</v>
      </c>
      <c r="H81" s="10"/>
      <c r="I81" s="10"/>
    </row>
    <row r="82" spans="1:9" x14ac:dyDescent="0.2">
      <c r="A82" s="10">
        <v>18393</v>
      </c>
      <c r="B82" s="11">
        <v>42349</v>
      </c>
      <c r="C82" s="12">
        <v>265</v>
      </c>
      <c r="D82" s="12">
        <v>20.2</v>
      </c>
      <c r="E82" s="15" t="s">
        <v>11</v>
      </c>
      <c r="H82" s="10"/>
      <c r="I82" s="10"/>
    </row>
    <row r="83" spans="1:9" x14ac:dyDescent="0.2">
      <c r="A83" s="10">
        <v>18394</v>
      </c>
      <c r="B83" s="11">
        <v>42349</v>
      </c>
      <c r="C83" s="12">
        <v>10.77</v>
      </c>
      <c r="D83" s="12">
        <v>0.82</v>
      </c>
      <c r="E83" s="15" t="s">
        <v>11</v>
      </c>
      <c r="H83" s="10"/>
      <c r="I83" s="10"/>
    </row>
    <row r="84" spans="1:9" x14ac:dyDescent="0.2">
      <c r="A84" s="10">
        <v>18395</v>
      </c>
      <c r="B84" s="11">
        <v>42349</v>
      </c>
      <c r="C84" s="12">
        <v>298.71999999999997</v>
      </c>
      <c r="D84" s="12">
        <v>22.77</v>
      </c>
      <c r="E84" s="15"/>
      <c r="F84" s="21"/>
      <c r="G84" s="22"/>
      <c r="H84" s="10"/>
      <c r="I84" s="10"/>
    </row>
    <row r="85" spans="1:9" x14ac:dyDescent="0.2">
      <c r="A85" s="10">
        <v>18396</v>
      </c>
      <c r="B85" s="11">
        <v>42349</v>
      </c>
      <c r="C85" s="12">
        <v>16.18</v>
      </c>
      <c r="D85" s="12">
        <v>1.23</v>
      </c>
      <c r="E85" s="17"/>
      <c r="H85" s="12"/>
      <c r="I85" s="10"/>
    </row>
    <row r="86" spans="1:9" x14ac:dyDescent="0.2">
      <c r="A86" s="10">
        <v>18397</v>
      </c>
      <c r="B86" s="11">
        <v>42349</v>
      </c>
      <c r="C86" s="12">
        <v>108.25</v>
      </c>
      <c r="D86" s="12">
        <v>8.25</v>
      </c>
      <c r="E86" s="15" t="s">
        <v>11</v>
      </c>
      <c r="H86" s="10"/>
      <c r="I86" s="10"/>
    </row>
    <row r="87" spans="1:9" x14ac:dyDescent="0.2">
      <c r="A87" s="10">
        <v>18398</v>
      </c>
      <c r="B87" s="11">
        <v>42349</v>
      </c>
      <c r="C87" s="12">
        <v>21.54</v>
      </c>
      <c r="D87" s="12">
        <v>1.64</v>
      </c>
      <c r="E87" s="15" t="s">
        <v>11</v>
      </c>
      <c r="H87" s="10"/>
      <c r="I87" s="10"/>
    </row>
    <row r="88" spans="1:9" x14ac:dyDescent="0.2">
      <c r="A88" s="10">
        <v>18399</v>
      </c>
      <c r="B88" s="11">
        <v>42349</v>
      </c>
      <c r="C88" s="12">
        <v>58.02</v>
      </c>
      <c r="D88" s="12">
        <v>4.42</v>
      </c>
      <c r="E88" s="13" t="s">
        <v>522</v>
      </c>
      <c r="H88" s="12"/>
      <c r="I88" s="10"/>
    </row>
    <row r="89" spans="1:9" x14ac:dyDescent="0.2">
      <c r="A89" s="10">
        <v>18400</v>
      </c>
      <c r="B89" s="11">
        <v>42349</v>
      </c>
      <c r="C89" s="12">
        <v>38.97</v>
      </c>
      <c r="D89" s="12">
        <v>2.97</v>
      </c>
      <c r="E89" s="15" t="s">
        <v>11</v>
      </c>
      <c r="H89" s="10"/>
      <c r="I89" s="10"/>
    </row>
    <row r="90" spans="1:9" x14ac:dyDescent="0.2">
      <c r="A90" s="10">
        <v>18401</v>
      </c>
      <c r="B90" s="11">
        <v>42349</v>
      </c>
      <c r="C90" s="12">
        <v>10</v>
      </c>
      <c r="D90" s="12">
        <v>0.76</v>
      </c>
      <c r="E90" s="15"/>
      <c r="F90" s="34">
        <f>+C82+C83+C86+C87+3.02+C89</f>
        <v>447.54999999999995</v>
      </c>
      <c r="G90" s="34">
        <v>444.11</v>
      </c>
      <c r="H90" s="10"/>
      <c r="I90" s="10"/>
    </row>
    <row r="91" spans="1:9" x14ac:dyDescent="0.2">
      <c r="A91" s="10">
        <v>18402</v>
      </c>
      <c r="B91" s="11">
        <v>42350</v>
      </c>
      <c r="C91" s="12">
        <v>10.83</v>
      </c>
      <c r="D91" s="12">
        <v>0.83</v>
      </c>
      <c r="E91" s="17"/>
      <c r="F91" s="18"/>
      <c r="G91" s="19"/>
      <c r="H91" s="12"/>
      <c r="I91" s="10"/>
    </row>
    <row r="92" spans="1:9" x14ac:dyDescent="0.2">
      <c r="A92" s="10">
        <v>18403</v>
      </c>
      <c r="B92" s="11">
        <v>42350</v>
      </c>
      <c r="C92" s="12">
        <v>42.22</v>
      </c>
      <c r="D92" s="12">
        <v>3.22</v>
      </c>
      <c r="E92" s="15" t="s">
        <v>11</v>
      </c>
      <c r="H92" s="10"/>
      <c r="I92" s="10"/>
    </row>
    <row r="93" spans="1:9" x14ac:dyDescent="0.2">
      <c r="A93" s="10">
        <v>18404</v>
      </c>
      <c r="B93" s="11">
        <v>42350</v>
      </c>
      <c r="C93" s="12">
        <v>20.57</v>
      </c>
      <c r="D93" s="12">
        <v>1.57</v>
      </c>
      <c r="E93" s="15" t="s">
        <v>7</v>
      </c>
      <c r="H93" s="10"/>
      <c r="I93" s="10"/>
    </row>
    <row r="94" spans="1:9" x14ac:dyDescent="0.2">
      <c r="A94" s="10">
        <v>18405</v>
      </c>
      <c r="B94" s="11">
        <v>42350</v>
      </c>
      <c r="C94" s="12">
        <v>32.42</v>
      </c>
      <c r="D94" s="12">
        <v>2.4700000000000002</v>
      </c>
      <c r="E94" s="15" t="s">
        <v>7</v>
      </c>
      <c r="F94" s="21"/>
      <c r="G94" s="22"/>
      <c r="H94" s="10"/>
      <c r="I94" s="10"/>
    </row>
    <row r="95" spans="1:9" x14ac:dyDescent="0.2">
      <c r="A95" s="10">
        <v>18406</v>
      </c>
      <c r="B95" s="11">
        <v>42350</v>
      </c>
      <c r="C95" s="12">
        <v>14.07</v>
      </c>
      <c r="D95" s="12">
        <v>1.07</v>
      </c>
      <c r="E95" s="15" t="s">
        <v>7</v>
      </c>
      <c r="F95" s="21"/>
      <c r="G95" s="22"/>
      <c r="H95" s="10"/>
      <c r="I95" s="10"/>
    </row>
    <row r="96" spans="1:9" x14ac:dyDescent="0.2">
      <c r="A96" s="10">
        <v>18407</v>
      </c>
      <c r="B96" s="11">
        <v>42350</v>
      </c>
      <c r="C96" s="12">
        <v>10.83</v>
      </c>
      <c r="D96" s="12">
        <v>0.83</v>
      </c>
      <c r="E96" s="15" t="s">
        <v>7</v>
      </c>
      <c r="H96" s="10"/>
      <c r="I96" s="10"/>
    </row>
    <row r="97" spans="1:9" x14ac:dyDescent="0.2">
      <c r="A97" s="10">
        <v>18408</v>
      </c>
      <c r="B97" s="11">
        <v>42350</v>
      </c>
      <c r="C97" s="12">
        <v>38.97</v>
      </c>
      <c r="D97" s="12">
        <v>2.97</v>
      </c>
      <c r="E97" s="17"/>
      <c r="F97" s="18"/>
      <c r="G97" s="19"/>
      <c r="H97" s="12"/>
      <c r="I97" s="10"/>
    </row>
    <row r="98" spans="1:9" x14ac:dyDescent="0.2">
      <c r="A98" s="10">
        <v>18409</v>
      </c>
      <c r="B98" s="11">
        <v>42350</v>
      </c>
      <c r="C98" s="12">
        <v>10</v>
      </c>
      <c r="D98" s="12">
        <v>0.76</v>
      </c>
      <c r="E98" s="17"/>
      <c r="F98" s="34">
        <f>+C93+C92+C94+C95+C96</f>
        <v>120.11</v>
      </c>
      <c r="G98" s="34">
        <v>117.47</v>
      </c>
      <c r="H98" s="12"/>
      <c r="I98" s="10"/>
    </row>
    <row r="99" spans="1:9" x14ac:dyDescent="0.2">
      <c r="A99" s="10">
        <v>18410</v>
      </c>
      <c r="B99" s="11">
        <v>42352</v>
      </c>
      <c r="C99" s="12">
        <v>64.95</v>
      </c>
      <c r="D99" s="12">
        <v>4.95</v>
      </c>
      <c r="E99" s="15" t="s">
        <v>523</v>
      </c>
      <c r="H99" s="10"/>
      <c r="I99" s="10"/>
    </row>
    <row r="100" spans="1:9" x14ac:dyDescent="0.2">
      <c r="A100" s="10">
        <v>18411</v>
      </c>
      <c r="B100" s="11">
        <v>42352</v>
      </c>
      <c r="C100" s="12">
        <v>21.599999999999998</v>
      </c>
      <c r="D100" s="12">
        <v>1.65</v>
      </c>
      <c r="E100" s="17"/>
      <c r="F100" s="18"/>
      <c r="G100" s="19"/>
      <c r="H100" s="12"/>
      <c r="I100" s="10"/>
    </row>
    <row r="101" spans="1:9" x14ac:dyDescent="0.2">
      <c r="A101" s="10">
        <v>18412</v>
      </c>
      <c r="B101" s="11">
        <v>42352</v>
      </c>
      <c r="C101" s="12">
        <v>54.13</v>
      </c>
      <c r="D101" s="12">
        <v>4.13</v>
      </c>
      <c r="E101" s="17"/>
      <c r="H101" s="12"/>
      <c r="I101" s="10"/>
    </row>
    <row r="102" spans="1:9" x14ac:dyDescent="0.2">
      <c r="A102" s="10">
        <v>18413</v>
      </c>
      <c r="B102" s="11">
        <v>42352</v>
      </c>
      <c r="C102" s="12">
        <v>120</v>
      </c>
      <c r="D102" s="12"/>
      <c r="E102" s="15" t="s">
        <v>16</v>
      </c>
      <c r="F102" s="21"/>
      <c r="G102" s="22"/>
      <c r="H102" s="10"/>
      <c r="I102" s="10"/>
    </row>
    <row r="103" spans="1:9" x14ac:dyDescent="0.2">
      <c r="A103" s="10">
        <v>18414</v>
      </c>
      <c r="B103" s="11">
        <v>42352</v>
      </c>
      <c r="C103" s="12">
        <v>310.14</v>
      </c>
      <c r="D103" s="12">
        <v>23.64</v>
      </c>
      <c r="E103" s="15"/>
      <c r="H103" s="10"/>
      <c r="I103" s="10"/>
    </row>
    <row r="104" spans="1:9" x14ac:dyDescent="0.2">
      <c r="A104" s="10">
        <v>18415</v>
      </c>
      <c r="B104" s="11">
        <v>42352</v>
      </c>
      <c r="C104" s="12">
        <v>78.510000000000005</v>
      </c>
      <c r="D104" s="12"/>
      <c r="E104" s="15" t="s">
        <v>16</v>
      </c>
      <c r="H104" s="10"/>
      <c r="I104" s="10"/>
    </row>
    <row r="105" spans="1:9" x14ac:dyDescent="0.2">
      <c r="A105" s="10">
        <v>18416</v>
      </c>
      <c r="B105" s="11">
        <v>42352</v>
      </c>
      <c r="C105" s="12">
        <v>16.239999999999998</v>
      </c>
      <c r="D105" s="12">
        <v>1.24</v>
      </c>
      <c r="E105" s="15" t="s">
        <v>7</v>
      </c>
      <c r="H105" s="10"/>
      <c r="I105" s="10"/>
    </row>
    <row r="106" spans="1:9" x14ac:dyDescent="0.2">
      <c r="A106" s="10">
        <v>18417</v>
      </c>
      <c r="B106" s="11">
        <v>42352</v>
      </c>
      <c r="C106" s="12">
        <v>173</v>
      </c>
      <c r="D106" s="12">
        <v>13.19</v>
      </c>
      <c r="E106" s="15" t="s">
        <v>524</v>
      </c>
      <c r="F106" s="34">
        <f>351.81+C105+160+64.95</f>
        <v>593</v>
      </c>
      <c r="G106" s="34">
        <f>518.59+63.16</f>
        <v>581.75</v>
      </c>
      <c r="H106" s="15"/>
      <c r="I106" s="10"/>
    </row>
    <row r="107" spans="1:9" x14ac:dyDescent="0.2">
      <c r="A107" s="10">
        <v>18418</v>
      </c>
      <c r="B107" s="11">
        <v>42353</v>
      </c>
      <c r="C107" s="12">
        <v>5.95</v>
      </c>
      <c r="D107" s="12"/>
      <c r="E107" s="15" t="s">
        <v>525</v>
      </c>
      <c r="H107" s="23"/>
      <c r="I107" s="10"/>
    </row>
    <row r="108" spans="1:9" x14ac:dyDescent="0.2">
      <c r="A108" s="10">
        <v>18419</v>
      </c>
      <c r="B108" s="11">
        <v>42353</v>
      </c>
      <c r="C108" s="12">
        <v>148.30000000000001</v>
      </c>
      <c r="D108" s="12">
        <v>11.3</v>
      </c>
      <c r="E108" s="15" t="s">
        <v>526</v>
      </c>
      <c r="H108" s="23"/>
      <c r="I108" s="10"/>
    </row>
    <row r="109" spans="1:9" x14ac:dyDescent="0.2">
      <c r="A109" s="10">
        <v>18420</v>
      </c>
      <c r="B109" s="11">
        <v>42353</v>
      </c>
      <c r="C109" s="12">
        <v>91.47</v>
      </c>
      <c r="D109" s="12">
        <v>6.97</v>
      </c>
      <c r="E109" s="15" t="s">
        <v>11</v>
      </c>
      <c r="H109" s="23"/>
      <c r="I109" s="10"/>
    </row>
    <row r="110" spans="1:9" x14ac:dyDescent="0.2">
      <c r="A110" s="10">
        <v>18421</v>
      </c>
      <c r="B110" s="11">
        <v>42353</v>
      </c>
      <c r="C110" s="12">
        <v>48.6</v>
      </c>
      <c r="D110" s="12">
        <v>3.7</v>
      </c>
      <c r="E110" s="15" t="s">
        <v>11</v>
      </c>
      <c r="H110" s="23"/>
      <c r="I110" s="10"/>
    </row>
    <row r="111" spans="1:9" x14ac:dyDescent="0.2">
      <c r="A111" s="10">
        <v>18422</v>
      </c>
      <c r="B111" s="11">
        <v>42353</v>
      </c>
      <c r="C111" s="12">
        <v>70.36</v>
      </c>
      <c r="D111" s="12">
        <v>5.36</v>
      </c>
      <c r="E111" s="15" t="s">
        <v>11</v>
      </c>
      <c r="F111" s="21"/>
      <c r="G111" s="22"/>
      <c r="H111" s="23"/>
      <c r="I111" s="10"/>
    </row>
    <row r="112" spans="1:9" x14ac:dyDescent="0.2">
      <c r="A112" s="10">
        <v>18423</v>
      </c>
      <c r="B112" s="11">
        <v>42353</v>
      </c>
      <c r="C112" s="12">
        <v>9.74</v>
      </c>
      <c r="D112" s="12">
        <v>0.74</v>
      </c>
      <c r="E112" s="15" t="s">
        <v>11</v>
      </c>
      <c r="H112" s="23"/>
      <c r="I112" s="10"/>
    </row>
    <row r="113" spans="1:9" x14ac:dyDescent="0.2">
      <c r="A113" s="10">
        <v>18424</v>
      </c>
      <c r="B113" s="11">
        <v>42353</v>
      </c>
      <c r="C113" s="12">
        <v>4</v>
      </c>
      <c r="D113" s="12">
        <v>0.3</v>
      </c>
      <c r="E113" s="17"/>
      <c r="H113" s="17"/>
      <c r="I113" s="10"/>
    </row>
    <row r="114" spans="1:9" x14ac:dyDescent="0.2">
      <c r="A114" s="10">
        <v>18425</v>
      </c>
      <c r="B114" s="11">
        <v>42353</v>
      </c>
      <c r="C114" s="12">
        <v>22</v>
      </c>
      <c r="D114" s="12"/>
      <c r="E114" s="15" t="s">
        <v>271</v>
      </c>
      <c r="H114" s="23"/>
      <c r="I114" s="10"/>
    </row>
    <row r="115" spans="1:9" x14ac:dyDescent="0.2">
      <c r="A115" s="10">
        <v>18426</v>
      </c>
      <c r="B115" s="11">
        <v>42353</v>
      </c>
      <c r="C115" s="12">
        <v>11.99</v>
      </c>
      <c r="D115" s="12">
        <v>0.91</v>
      </c>
      <c r="E115" s="17"/>
      <c r="F115" s="18"/>
      <c r="G115" s="19"/>
      <c r="H115" s="17"/>
      <c r="I115" s="10"/>
    </row>
    <row r="116" spans="1:9" x14ac:dyDescent="0.2">
      <c r="A116" s="10">
        <v>18427</v>
      </c>
      <c r="B116" s="11">
        <v>42353</v>
      </c>
      <c r="C116" s="12">
        <v>38.86</v>
      </c>
      <c r="D116" s="12">
        <v>2.96</v>
      </c>
      <c r="E116" s="15" t="s">
        <v>11</v>
      </c>
      <c r="H116" s="23"/>
      <c r="I116" s="10"/>
    </row>
    <row r="117" spans="1:9" x14ac:dyDescent="0.2">
      <c r="A117" s="10">
        <v>18428</v>
      </c>
      <c r="B117" s="11">
        <v>42353</v>
      </c>
      <c r="C117" s="12">
        <v>172.26999999999998</v>
      </c>
      <c r="D117" s="12">
        <v>13.13</v>
      </c>
      <c r="E117" s="17"/>
      <c r="F117" s="18"/>
      <c r="G117" s="19"/>
      <c r="H117" s="17"/>
      <c r="I117" s="10"/>
    </row>
    <row r="118" spans="1:9" x14ac:dyDescent="0.2">
      <c r="A118" s="10">
        <v>18429</v>
      </c>
      <c r="B118" s="11">
        <v>42353</v>
      </c>
      <c r="C118" s="12">
        <v>284.7</v>
      </c>
      <c r="D118" s="12">
        <v>21.7</v>
      </c>
      <c r="E118" s="15" t="s">
        <v>11</v>
      </c>
      <c r="H118" s="23"/>
      <c r="I118" s="10"/>
    </row>
    <row r="119" spans="1:9" x14ac:dyDescent="0.2">
      <c r="A119" s="10">
        <v>18430</v>
      </c>
      <c r="B119" s="11">
        <v>42353</v>
      </c>
      <c r="C119" s="12">
        <v>10.83</v>
      </c>
      <c r="D119" s="12">
        <v>0.83</v>
      </c>
      <c r="E119" s="15" t="s">
        <v>11</v>
      </c>
      <c r="F119" s="34">
        <f>+C107+C109+C110+C111+C112+98.77+88.3+C116+C118+C119+0.01</f>
        <v>747.59</v>
      </c>
      <c r="G119" s="34">
        <v>735.37</v>
      </c>
      <c r="H119" s="23"/>
      <c r="I119" s="10"/>
    </row>
    <row r="120" spans="1:9" x14ac:dyDescent="0.2">
      <c r="A120" s="10">
        <v>18431</v>
      </c>
      <c r="B120" s="11">
        <v>42354</v>
      </c>
      <c r="C120" s="12">
        <v>108.25</v>
      </c>
      <c r="D120" s="12">
        <v>8.25</v>
      </c>
      <c r="E120" s="15" t="s">
        <v>527</v>
      </c>
      <c r="F120" s="21"/>
      <c r="G120" s="22"/>
      <c r="H120" s="23"/>
      <c r="I120" s="10"/>
    </row>
    <row r="121" spans="1:9" x14ac:dyDescent="0.2">
      <c r="A121" s="10">
        <v>18432</v>
      </c>
      <c r="B121" s="11">
        <v>42354</v>
      </c>
      <c r="C121" s="12">
        <v>-3.1900000000000004</v>
      </c>
      <c r="D121" s="12">
        <v>-0.24</v>
      </c>
      <c r="E121" s="17"/>
      <c r="H121" s="17"/>
      <c r="I121" s="10"/>
    </row>
    <row r="122" spans="1:9" x14ac:dyDescent="0.2">
      <c r="A122" s="10">
        <v>18433</v>
      </c>
      <c r="B122" s="11">
        <v>42354</v>
      </c>
      <c r="C122" s="12">
        <v>47.63</v>
      </c>
      <c r="D122" s="12">
        <v>3.63</v>
      </c>
      <c r="E122" s="15" t="s">
        <v>297</v>
      </c>
      <c r="F122" s="21"/>
      <c r="G122" s="22"/>
      <c r="H122" s="23"/>
      <c r="I122" s="10"/>
    </row>
    <row r="123" spans="1:9" x14ac:dyDescent="0.2">
      <c r="A123" s="10">
        <v>18434</v>
      </c>
      <c r="B123" s="11">
        <v>42354</v>
      </c>
      <c r="C123" s="12">
        <v>437.33</v>
      </c>
      <c r="D123" s="12">
        <v>33.33</v>
      </c>
      <c r="E123" s="15" t="s">
        <v>528</v>
      </c>
      <c r="H123" s="23"/>
      <c r="I123" s="10"/>
    </row>
    <row r="124" spans="1:9" x14ac:dyDescent="0.2">
      <c r="A124" s="10">
        <v>18435</v>
      </c>
      <c r="B124" s="11">
        <v>42354</v>
      </c>
      <c r="C124" s="12">
        <v>184.99999999999997</v>
      </c>
      <c r="D124" s="12">
        <v>14.1</v>
      </c>
      <c r="E124" s="15" t="s">
        <v>26</v>
      </c>
      <c r="H124" s="23"/>
      <c r="I124" s="10"/>
    </row>
    <row r="125" spans="1:9" x14ac:dyDescent="0.2">
      <c r="A125" s="10">
        <v>18436</v>
      </c>
      <c r="B125" s="11">
        <v>42354</v>
      </c>
      <c r="C125" s="12">
        <v>391</v>
      </c>
      <c r="D125" s="12">
        <v>29.8</v>
      </c>
      <c r="E125" s="15" t="s">
        <v>11</v>
      </c>
      <c r="F125" s="34">
        <f>+C125</f>
        <v>391</v>
      </c>
      <c r="G125" s="34">
        <v>389.35</v>
      </c>
      <c r="H125" s="23"/>
      <c r="I125" s="10"/>
    </row>
    <row r="126" spans="1:9" x14ac:dyDescent="0.2">
      <c r="A126" s="10">
        <v>18437</v>
      </c>
      <c r="B126" s="11">
        <v>42355</v>
      </c>
      <c r="C126" s="12">
        <v>90.010000000000019</v>
      </c>
      <c r="D126" s="12">
        <v>6.86</v>
      </c>
      <c r="E126" s="15" t="s">
        <v>7</v>
      </c>
      <c r="H126" s="23"/>
      <c r="I126" s="10"/>
    </row>
    <row r="127" spans="1:9" x14ac:dyDescent="0.2">
      <c r="A127" s="10">
        <v>18438</v>
      </c>
      <c r="B127" s="11">
        <v>42355</v>
      </c>
      <c r="C127" s="12">
        <v>137.47999999999999</v>
      </c>
      <c r="D127" s="12">
        <v>10.48</v>
      </c>
      <c r="E127" s="15" t="s">
        <v>21</v>
      </c>
      <c r="F127" s="21"/>
      <c r="G127" s="22"/>
      <c r="H127" s="23"/>
      <c r="I127" s="10"/>
    </row>
    <row r="128" spans="1:9" x14ac:dyDescent="0.2">
      <c r="A128" s="10">
        <v>18439</v>
      </c>
      <c r="B128" s="11">
        <v>42355</v>
      </c>
      <c r="C128" s="12">
        <v>53.04</v>
      </c>
      <c r="D128" s="12">
        <v>4.04</v>
      </c>
      <c r="E128" s="15" t="s">
        <v>11</v>
      </c>
      <c r="H128" s="23"/>
      <c r="I128" s="10"/>
    </row>
    <row r="129" spans="1:13" x14ac:dyDescent="0.2">
      <c r="A129" s="10">
        <v>18440</v>
      </c>
      <c r="B129" s="11">
        <v>42355</v>
      </c>
      <c r="C129" s="12">
        <v>24.9</v>
      </c>
      <c r="D129" s="12">
        <v>1.9</v>
      </c>
      <c r="E129" s="17"/>
      <c r="H129" s="17"/>
      <c r="I129" s="10"/>
    </row>
    <row r="130" spans="1:13" x14ac:dyDescent="0.2">
      <c r="A130" s="10">
        <v>18441</v>
      </c>
      <c r="B130" s="11">
        <v>42355</v>
      </c>
      <c r="C130" s="12">
        <v>28</v>
      </c>
      <c r="D130" s="12">
        <v>2.13</v>
      </c>
      <c r="E130" s="17"/>
      <c r="F130" s="18"/>
      <c r="G130" s="19"/>
      <c r="H130" s="17"/>
      <c r="I130" s="10"/>
    </row>
    <row r="131" spans="1:13" x14ac:dyDescent="0.2">
      <c r="A131" s="10">
        <v>18442</v>
      </c>
      <c r="B131" s="11">
        <v>42355</v>
      </c>
      <c r="C131" s="12">
        <v>4</v>
      </c>
      <c r="D131" s="12"/>
      <c r="E131" s="17"/>
      <c r="F131" s="18"/>
      <c r="G131" s="19"/>
      <c r="H131" s="17"/>
      <c r="I131" s="10"/>
    </row>
    <row r="132" spans="1:13" x14ac:dyDescent="0.2">
      <c r="A132" s="10">
        <v>18443</v>
      </c>
      <c r="B132" s="11">
        <v>42355</v>
      </c>
      <c r="C132" s="12">
        <v>16.239999999999998</v>
      </c>
      <c r="D132" s="12">
        <v>1.24</v>
      </c>
      <c r="E132" s="17"/>
      <c r="F132" s="18"/>
      <c r="G132" s="19"/>
      <c r="H132" s="17"/>
      <c r="I132" s="10"/>
    </row>
    <row r="133" spans="1:13" x14ac:dyDescent="0.2">
      <c r="A133" s="10">
        <v>18444</v>
      </c>
      <c r="B133" s="11">
        <v>42355</v>
      </c>
      <c r="C133" s="12">
        <v>74.69</v>
      </c>
      <c r="D133" s="12">
        <v>5.69</v>
      </c>
      <c r="E133" s="15" t="s">
        <v>529</v>
      </c>
      <c r="F133" s="21"/>
      <c r="G133" s="22"/>
      <c r="H133" s="23"/>
      <c r="I133" s="10"/>
    </row>
    <row r="134" spans="1:13" x14ac:dyDescent="0.2">
      <c r="A134" s="10">
        <v>18445</v>
      </c>
      <c r="B134" s="11">
        <v>42355</v>
      </c>
      <c r="C134" s="12">
        <v>90.93</v>
      </c>
      <c r="D134" s="12">
        <v>6.93</v>
      </c>
      <c r="E134" s="15" t="s">
        <v>11</v>
      </c>
      <c r="F134" s="21"/>
      <c r="G134" s="22"/>
      <c r="H134" s="23"/>
      <c r="I134" s="10"/>
    </row>
    <row r="135" spans="1:13" x14ac:dyDescent="0.2">
      <c r="A135" s="10">
        <v>18446</v>
      </c>
      <c r="B135" s="11">
        <v>42355</v>
      </c>
      <c r="C135" s="12">
        <v>21.65</v>
      </c>
      <c r="D135" s="12">
        <v>1.65</v>
      </c>
      <c r="E135" s="15" t="s">
        <v>11</v>
      </c>
      <c r="F135" s="21"/>
      <c r="G135" s="22"/>
      <c r="H135" s="23"/>
      <c r="I135" s="10"/>
    </row>
    <row r="136" spans="1:13" x14ac:dyDescent="0.2">
      <c r="A136" s="10">
        <v>18447</v>
      </c>
      <c r="B136" s="11">
        <v>42355</v>
      </c>
      <c r="C136" s="12">
        <v>193.77</v>
      </c>
      <c r="D136" s="12">
        <v>14.77</v>
      </c>
      <c r="E136" s="17"/>
      <c r="F136" s="18"/>
      <c r="G136" s="19"/>
      <c r="H136" s="17"/>
      <c r="I136" s="10"/>
    </row>
    <row r="137" spans="1:13" x14ac:dyDescent="0.2">
      <c r="A137" s="10">
        <v>18448</v>
      </c>
      <c r="B137" s="11">
        <v>42355</v>
      </c>
      <c r="C137" s="12">
        <v>-28</v>
      </c>
      <c r="D137" s="12">
        <v>-2.13</v>
      </c>
      <c r="E137" s="17"/>
      <c r="H137" s="17"/>
      <c r="I137" s="10"/>
    </row>
    <row r="138" spans="1:13" x14ac:dyDescent="0.2">
      <c r="A138" s="10">
        <v>18449</v>
      </c>
      <c r="B138" s="11">
        <v>42355</v>
      </c>
      <c r="C138" s="12">
        <v>77.53</v>
      </c>
      <c r="D138" s="12">
        <v>5.53</v>
      </c>
      <c r="E138" s="15" t="s">
        <v>530</v>
      </c>
      <c r="H138" s="23"/>
      <c r="I138" s="10"/>
    </row>
    <row r="139" spans="1:13" x14ac:dyDescent="0.2">
      <c r="A139" s="10">
        <v>18450</v>
      </c>
      <c r="B139" s="11">
        <v>42355</v>
      </c>
      <c r="C139" s="12">
        <v>54.07</v>
      </c>
      <c r="D139" s="12">
        <v>4.12</v>
      </c>
      <c r="E139" s="15" t="s">
        <v>523</v>
      </c>
      <c r="F139" s="34">
        <f>+C126+C128+C134+C135+C139+C120+23.87+54.07</f>
        <v>495.89000000000004</v>
      </c>
      <c r="G139" s="34">
        <f>432.98+52.58</f>
        <v>485.56</v>
      </c>
      <c r="H139" s="15"/>
      <c r="I139" s="10"/>
    </row>
    <row r="140" spans="1:13" x14ac:dyDescent="0.2">
      <c r="A140" s="10">
        <v>18451</v>
      </c>
      <c r="B140" s="11">
        <v>42356</v>
      </c>
      <c r="C140" s="12">
        <v>63.87</v>
      </c>
      <c r="D140" s="12">
        <v>4.87</v>
      </c>
      <c r="E140" s="13" t="s">
        <v>531</v>
      </c>
      <c r="F140" s="18"/>
      <c r="G140" s="19"/>
      <c r="H140" s="17"/>
      <c r="I140" s="10"/>
    </row>
    <row r="141" spans="1:13" x14ac:dyDescent="0.2">
      <c r="A141" s="10">
        <v>18452</v>
      </c>
      <c r="B141" s="11">
        <v>42356</v>
      </c>
      <c r="C141" s="12">
        <v>273.72000000000003</v>
      </c>
      <c r="D141" s="12">
        <v>19.72</v>
      </c>
      <c r="E141" s="15" t="s">
        <v>21</v>
      </c>
      <c r="F141" s="21"/>
      <c r="G141" s="22"/>
      <c r="H141" s="23"/>
      <c r="I141" s="10"/>
    </row>
    <row r="142" spans="1:13" x14ac:dyDescent="0.2">
      <c r="A142" s="10">
        <v>18453</v>
      </c>
      <c r="B142" s="11">
        <v>42356</v>
      </c>
      <c r="C142" s="12">
        <v>2.04</v>
      </c>
      <c r="D142" s="12"/>
      <c r="E142" s="13" t="s">
        <v>36</v>
      </c>
      <c r="H142" s="17"/>
      <c r="I142" s="10"/>
    </row>
    <row r="143" spans="1:13" x14ac:dyDescent="0.2">
      <c r="A143" s="118">
        <v>18454</v>
      </c>
      <c r="B143" s="148">
        <v>42356</v>
      </c>
      <c r="C143" s="121">
        <v>74.69</v>
      </c>
      <c r="D143" s="121">
        <v>5.69</v>
      </c>
      <c r="E143" s="149" t="s">
        <v>11</v>
      </c>
      <c r="H143" s="118"/>
      <c r="I143" s="118"/>
      <c r="J143" s="98"/>
      <c r="K143" s="120"/>
      <c r="L143" s="126"/>
      <c r="M143" s="98"/>
    </row>
    <row r="144" spans="1:13" x14ac:dyDescent="0.2">
      <c r="A144" s="118">
        <v>18455</v>
      </c>
      <c r="B144" s="148">
        <v>42356</v>
      </c>
      <c r="C144" s="121">
        <v>120</v>
      </c>
      <c r="D144" s="121"/>
      <c r="E144" s="149" t="s">
        <v>532</v>
      </c>
      <c r="F144" s="21"/>
      <c r="G144" s="22"/>
      <c r="H144" s="118"/>
      <c r="I144" s="118"/>
      <c r="J144" s="98"/>
      <c r="K144" s="120"/>
      <c r="L144" s="126"/>
      <c r="M144" s="98"/>
    </row>
    <row r="145" spans="1:13" x14ac:dyDescent="0.2">
      <c r="A145" s="118">
        <v>18456</v>
      </c>
      <c r="B145" s="148">
        <v>42356</v>
      </c>
      <c r="C145" s="121">
        <v>97</v>
      </c>
      <c r="D145" s="121"/>
      <c r="E145" s="151" t="s">
        <v>104</v>
      </c>
      <c r="H145" s="121"/>
      <c r="I145" s="118"/>
      <c r="J145" s="98"/>
      <c r="K145" s="120"/>
      <c r="L145" s="126"/>
      <c r="M145" s="98"/>
    </row>
    <row r="146" spans="1:13" x14ac:dyDescent="0.2">
      <c r="A146" s="118">
        <v>18457</v>
      </c>
      <c r="B146" s="148">
        <v>42356</v>
      </c>
      <c r="C146" s="121">
        <v>21.65</v>
      </c>
      <c r="D146" s="121">
        <v>1.65</v>
      </c>
      <c r="E146" s="152"/>
      <c r="H146" s="121"/>
      <c r="I146" s="118"/>
      <c r="J146" s="98"/>
      <c r="K146" s="120"/>
      <c r="L146" s="126"/>
      <c r="M146" s="98"/>
    </row>
    <row r="147" spans="1:13" x14ac:dyDescent="0.2">
      <c r="A147" s="118">
        <v>18458</v>
      </c>
      <c r="B147" s="148">
        <v>42356</v>
      </c>
      <c r="C147" s="121">
        <v>21.65</v>
      </c>
      <c r="D147" s="121">
        <v>1.65</v>
      </c>
      <c r="E147" s="149"/>
      <c r="F147" s="21"/>
      <c r="G147" s="22"/>
      <c r="H147" s="118"/>
      <c r="I147" s="118"/>
      <c r="J147" s="98"/>
      <c r="K147" s="120"/>
      <c r="L147" s="126"/>
      <c r="M147" s="98"/>
    </row>
    <row r="148" spans="1:13" x14ac:dyDescent="0.2">
      <c r="A148" s="118">
        <v>18459</v>
      </c>
      <c r="B148" s="148">
        <v>42356</v>
      </c>
      <c r="C148" s="121">
        <v>194.85</v>
      </c>
      <c r="D148" s="121">
        <v>14.85</v>
      </c>
      <c r="E148" s="149" t="s">
        <v>523</v>
      </c>
      <c r="F148" s="21"/>
      <c r="G148" s="22"/>
      <c r="H148" s="118"/>
      <c r="I148" s="118"/>
      <c r="J148" s="98"/>
      <c r="K148" s="120"/>
      <c r="L148" s="126"/>
      <c r="M148" s="98"/>
    </row>
    <row r="149" spans="1:13" x14ac:dyDescent="0.2">
      <c r="A149" s="118">
        <v>18460</v>
      </c>
      <c r="B149" s="148">
        <v>42356</v>
      </c>
      <c r="C149" s="121">
        <v>206.76</v>
      </c>
      <c r="D149" s="121">
        <v>15.76</v>
      </c>
      <c r="E149" s="149" t="s">
        <v>7</v>
      </c>
      <c r="I149" s="118"/>
      <c r="J149" s="98"/>
      <c r="K149" s="120"/>
      <c r="L149" s="126"/>
      <c r="M149" s="98"/>
    </row>
    <row r="150" spans="1:13" x14ac:dyDescent="0.2">
      <c r="A150" s="118">
        <v>18461</v>
      </c>
      <c r="B150" s="148">
        <v>42356</v>
      </c>
      <c r="C150" s="121">
        <v>19.484999999999999</v>
      </c>
      <c r="D150" s="121">
        <v>1.4850000000000001</v>
      </c>
      <c r="E150" s="149" t="s">
        <v>11</v>
      </c>
      <c r="F150" s="21"/>
      <c r="G150" s="22"/>
      <c r="H150" s="154"/>
      <c r="I150" s="118"/>
      <c r="J150" s="98"/>
      <c r="K150" s="120"/>
      <c r="L150" s="126"/>
      <c r="M150" s="98"/>
    </row>
    <row r="151" spans="1:13" x14ac:dyDescent="0.2">
      <c r="A151" s="118">
        <v>18462</v>
      </c>
      <c r="B151" s="148">
        <v>42356</v>
      </c>
      <c r="C151" s="121">
        <v>32.479999999999997</v>
      </c>
      <c r="D151" s="121">
        <v>2.48</v>
      </c>
      <c r="E151" s="149" t="s">
        <v>11</v>
      </c>
      <c r="I151" s="118"/>
      <c r="J151" s="98"/>
      <c r="K151" s="120"/>
      <c r="L151" s="126"/>
      <c r="M151" s="98"/>
    </row>
    <row r="152" spans="1:13" x14ac:dyDescent="0.2">
      <c r="A152" s="118">
        <v>18463</v>
      </c>
      <c r="B152" s="148">
        <v>42356</v>
      </c>
      <c r="C152" s="121">
        <v>10.95</v>
      </c>
      <c r="D152" s="121"/>
      <c r="E152" s="149" t="s">
        <v>33</v>
      </c>
      <c r="F152" s="34">
        <f>+C123+C143+C144+156.04+100+C150+24.25+477.33</f>
        <v>1409.125</v>
      </c>
      <c r="G152" s="34">
        <f>919.73+464.2</f>
        <v>1383.93</v>
      </c>
      <c r="H152" s="149"/>
      <c r="I152" s="118"/>
      <c r="J152" s="98"/>
      <c r="K152" s="120"/>
      <c r="L152" s="126"/>
      <c r="M152" s="98"/>
    </row>
    <row r="153" spans="1:13" x14ac:dyDescent="0.2">
      <c r="A153" s="118">
        <v>18464</v>
      </c>
      <c r="B153" s="148">
        <v>42357</v>
      </c>
      <c r="C153" s="121">
        <v>104.46</v>
      </c>
      <c r="D153" s="121">
        <v>7.96</v>
      </c>
      <c r="E153" s="149" t="s">
        <v>7</v>
      </c>
      <c r="F153" s="21"/>
      <c r="G153" s="22"/>
      <c r="H153" s="154"/>
      <c r="I153" s="118"/>
      <c r="J153" s="98"/>
      <c r="K153" s="120"/>
      <c r="L153" s="126"/>
      <c r="M153" s="98"/>
    </row>
    <row r="154" spans="1:13" x14ac:dyDescent="0.2">
      <c r="A154" s="118">
        <v>18465</v>
      </c>
      <c r="B154" s="148">
        <v>42357</v>
      </c>
      <c r="C154" s="121">
        <v>11.85</v>
      </c>
      <c r="D154" s="121">
        <v>0.9</v>
      </c>
      <c r="E154" s="151"/>
      <c r="F154" s="18"/>
      <c r="G154" s="19"/>
      <c r="H154" s="152"/>
      <c r="I154" s="118"/>
      <c r="J154" s="98"/>
      <c r="K154" s="120"/>
      <c r="L154" s="126"/>
      <c r="M154" s="98"/>
    </row>
    <row r="155" spans="1:13" x14ac:dyDescent="0.2">
      <c r="A155" s="118">
        <v>18466</v>
      </c>
      <c r="B155" s="148">
        <v>42357</v>
      </c>
      <c r="C155" s="121">
        <v>253.85</v>
      </c>
      <c r="D155" s="121">
        <v>19.350000000000001</v>
      </c>
      <c r="E155" s="149" t="s">
        <v>533</v>
      </c>
      <c r="F155" s="21"/>
      <c r="G155" s="22"/>
      <c r="H155" s="154"/>
      <c r="I155" s="118"/>
      <c r="J155" s="98"/>
      <c r="K155" s="120"/>
      <c r="L155" s="126"/>
      <c r="M155" s="98"/>
    </row>
    <row r="156" spans="1:13" x14ac:dyDescent="0.2">
      <c r="A156" s="118">
        <v>18467</v>
      </c>
      <c r="B156" s="148">
        <v>42357</v>
      </c>
      <c r="C156" s="121">
        <v>183.97</v>
      </c>
      <c r="D156" s="121">
        <v>14.02</v>
      </c>
      <c r="E156" s="152"/>
      <c r="I156" s="118"/>
      <c r="J156" s="98"/>
      <c r="K156" s="120"/>
      <c r="L156" s="126"/>
      <c r="M156" s="98"/>
    </row>
    <row r="157" spans="1:13" x14ac:dyDescent="0.2">
      <c r="A157" s="118">
        <v>18468</v>
      </c>
      <c r="B157" s="148">
        <v>42357</v>
      </c>
      <c r="C157" s="121">
        <v>40.049999999999997</v>
      </c>
      <c r="D157" s="121">
        <v>3.05</v>
      </c>
      <c r="E157" s="152"/>
      <c r="F157" s="18"/>
      <c r="G157" s="19"/>
      <c r="H157" s="152"/>
      <c r="I157" s="118"/>
      <c r="J157" s="98"/>
      <c r="K157" s="120"/>
      <c r="L157" s="126"/>
      <c r="M157" s="98"/>
    </row>
    <row r="158" spans="1:13" x14ac:dyDescent="0.2">
      <c r="A158" s="118">
        <v>18469</v>
      </c>
      <c r="B158" s="148">
        <v>42357</v>
      </c>
      <c r="C158" s="121">
        <v>280.37</v>
      </c>
      <c r="D158" s="121">
        <v>21.37</v>
      </c>
      <c r="E158" s="149" t="s">
        <v>533</v>
      </c>
      <c r="I158" s="118"/>
      <c r="J158" s="98"/>
      <c r="K158" s="120"/>
      <c r="L158" s="126"/>
      <c r="M158" s="98"/>
    </row>
    <row r="159" spans="1:13" x14ac:dyDescent="0.2">
      <c r="A159" s="118">
        <v>18470</v>
      </c>
      <c r="B159" s="148">
        <v>42357</v>
      </c>
      <c r="C159" s="121">
        <v>45.47</v>
      </c>
      <c r="D159" s="121">
        <v>3.47</v>
      </c>
      <c r="E159" s="149" t="s">
        <v>7</v>
      </c>
      <c r="J159" s="98"/>
      <c r="K159" s="120"/>
      <c r="L159" s="126"/>
      <c r="M159" s="98"/>
    </row>
    <row r="160" spans="1:13" x14ac:dyDescent="0.2">
      <c r="A160" s="118">
        <v>18471</v>
      </c>
      <c r="B160" s="148">
        <v>42357</v>
      </c>
      <c r="C160" s="121">
        <v>9.74</v>
      </c>
      <c r="D160" s="121">
        <v>0.74</v>
      </c>
      <c r="E160" s="149" t="s">
        <v>11</v>
      </c>
      <c r="J160" s="98"/>
      <c r="K160" s="120"/>
      <c r="L160" s="126"/>
      <c r="M160" s="98"/>
    </row>
    <row r="161" spans="1:13" x14ac:dyDescent="0.2">
      <c r="A161" s="118">
        <v>18472</v>
      </c>
      <c r="B161" s="148">
        <v>42357</v>
      </c>
      <c r="C161" s="121">
        <v>56.18</v>
      </c>
      <c r="D161" s="121">
        <v>4.28</v>
      </c>
      <c r="E161" s="149" t="s">
        <v>11</v>
      </c>
      <c r="F161" s="34">
        <f>+C153+C159+C160+C161+534.22</f>
        <v>750.07</v>
      </c>
      <c r="G161" s="34">
        <f>211.77+519.53</f>
        <v>731.3</v>
      </c>
      <c r="H161" s="151"/>
      <c r="I161" s="118"/>
      <c r="J161" s="98"/>
      <c r="K161" s="120"/>
      <c r="L161" s="126"/>
      <c r="M161" s="98"/>
    </row>
    <row r="162" spans="1:13" x14ac:dyDescent="0.2">
      <c r="A162" s="118">
        <v>18473</v>
      </c>
      <c r="B162" s="148">
        <v>42359</v>
      </c>
      <c r="C162" s="121">
        <v>19.05</v>
      </c>
      <c r="D162" s="121">
        <v>1.45</v>
      </c>
      <c r="E162" s="152"/>
      <c r="F162" s="18"/>
      <c r="G162" s="19"/>
      <c r="H162" s="152"/>
      <c r="I162" s="118"/>
      <c r="J162" s="98"/>
      <c r="K162" s="120"/>
      <c r="L162" s="126"/>
      <c r="M162" s="98"/>
    </row>
    <row r="163" spans="1:13" x14ac:dyDescent="0.2">
      <c r="A163" s="118">
        <v>18474</v>
      </c>
      <c r="B163" s="148">
        <v>42359</v>
      </c>
      <c r="C163" s="121">
        <v>20.5</v>
      </c>
      <c r="D163" s="121"/>
      <c r="E163" s="152"/>
      <c r="F163" s="18"/>
      <c r="G163" s="19"/>
      <c r="H163" s="152"/>
      <c r="I163" s="118"/>
      <c r="J163" s="98"/>
      <c r="K163" s="120"/>
      <c r="L163" s="126"/>
      <c r="M163" s="98"/>
    </row>
    <row r="164" spans="1:13" x14ac:dyDescent="0.2">
      <c r="A164" s="118">
        <v>18475</v>
      </c>
      <c r="B164" s="148">
        <v>42359</v>
      </c>
      <c r="C164" s="121">
        <v>344</v>
      </c>
      <c r="D164" s="121">
        <v>26.22</v>
      </c>
      <c r="E164" s="152"/>
      <c r="F164" s="18"/>
      <c r="G164" s="19"/>
      <c r="H164" s="152"/>
      <c r="I164" s="118"/>
      <c r="J164" s="98"/>
      <c r="K164" s="120"/>
      <c r="L164" s="126"/>
      <c r="M164" s="98"/>
    </row>
    <row r="165" spans="1:13" x14ac:dyDescent="0.2">
      <c r="A165" s="118">
        <v>18476</v>
      </c>
      <c r="B165" s="148">
        <v>42359</v>
      </c>
      <c r="C165" s="121">
        <v>0</v>
      </c>
      <c r="D165" s="121">
        <v>0</v>
      </c>
      <c r="E165" s="152"/>
      <c r="F165" s="34">
        <v>0</v>
      </c>
      <c r="G165" s="34">
        <f>+F165*0.97831</f>
        <v>0</v>
      </c>
      <c r="H165" s="152"/>
      <c r="I165" s="118"/>
      <c r="J165" s="98"/>
      <c r="K165" s="120"/>
      <c r="L165" s="126"/>
      <c r="M165" s="98"/>
    </row>
    <row r="166" spans="1:13" x14ac:dyDescent="0.2">
      <c r="A166" s="118">
        <v>18477</v>
      </c>
      <c r="B166" s="148">
        <v>42360</v>
      </c>
      <c r="C166" s="121">
        <v>99.82</v>
      </c>
      <c r="D166" s="121">
        <v>7.07</v>
      </c>
      <c r="E166" s="149" t="s">
        <v>21</v>
      </c>
      <c r="H166" s="154"/>
      <c r="I166" s="118"/>
      <c r="J166" s="98"/>
      <c r="K166" s="120"/>
      <c r="L166" s="126"/>
      <c r="M166" s="98"/>
    </row>
    <row r="167" spans="1:13" x14ac:dyDescent="0.2">
      <c r="A167" s="118">
        <v>18478</v>
      </c>
      <c r="B167" s="148">
        <v>42360</v>
      </c>
      <c r="C167" s="121">
        <v>116.91</v>
      </c>
      <c r="D167" s="121">
        <v>8.91</v>
      </c>
      <c r="E167" s="151" t="s">
        <v>534</v>
      </c>
      <c r="H167" s="152"/>
      <c r="I167" s="118"/>
      <c r="J167" s="98"/>
      <c r="K167" s="120"/>
      <c r="L167" s="126"/>
      <c r="M167" s="98"/>
    </row>
    <row r="168" spans="1:13" x14ac:dyDescent="0.2">
      <c r="A168" s="118">
        <v>18479</v>
      </c>
      <c r="B168" s="148">
        <v>42360</v>
      </c>
      <c r="C168" s="121">
        <v>20</v>
      </c>
      <c r="D168" s="121">
        <v>1.52</v>
      </c>
      <c r="E168" s="152"/>
      <c r="F168" s="18"/>
      <c r="G168" s="19"/>
      <c r="H168" s="152"/>
      <c r="I168" s="118"/>
      <c r="J168" s="98"/>
      <c r="K168" s="120"/>
      <c r="L168" s="126"/>
      <c r="M168" s="98"/>
    </row>
    <row r="169" spans="1:13" x14ac:dyDescent="0.2">
      <c r="A169" s="118">
        <v>18480</v>
      </c>
      <c r="B169" s="148">
        <v>42360</v>
      </c>
      <c r="C169" s="121">
        <v>138.02000000000001</v>
      </c>
      <c r="D169" s="121">
        <v>10.52</v>
      </c>
      <c r="E169" s="149" t="s">
        <v>533</v>
      </c>
      <c r="F169" s="21"/>
      <c r="G169" s="22"/>
      <c r="H169" s="154"/>
      <c r="I169" s="118"/>
      <c r="J169" s="98"/>
      <c r="K169" s="120"/>
      <c r="L169" s="126"/>
      <c r="M169" s="98"/>
    </row>
    <row r="170" spans="1:13" x14ac:dyDescent="0.2">
      <c r="A170" s="118">
        <v>18481</v>
      </c>
      <c r="B170" s="148">
        <v>42360</v>
      </c>
      <c r="C170" s="121">
        <v>566</v>
      </c>
      <c r="D170" s="121"/>
      <c r="E170" s="151" t="s">
        <v>432</v>
      </c>
      <c r="F170" s="18"/>
      <c r="G170" s="19"/>
      <c r="H170" s="152"/>
      <c r="I170" s="118"/>
      <c r="J170" s="98"/>
      <c r="K170" s="120"/>
      <c r="L170" s="126"/>
      <c r="M170" s="98"/>
    </row>
    <row r="171" spans="1:13" x14ac:dyDescent="0.2">
      <c r="A171" s="118">
        <v>18482</v>
      </c>
      <c r="B171" s="148">
        <v>42360</v>
      </c>
      <c r="C171" s="121">
        <v>358.69</v>
      </c>
      <c r="D171" s="121">
        <v>2.19</v>
      </c>
      <c r="E171" s="149" t="s">
        <v>26</v>
      </c>
      <c r="F171" s="21"/>
      <c r="G171" s="22"/>
      <c r="H171" s="152"/>
      <c r="I171" s="118"/>
      <c r="J171" s="98"/>
      <c r="K171" s="120"/>
      <c r="L171" s="126"/>
      <c r="M171" s="98"/>
    </row>
    <row r="172" spans="1:13" x14ac:dyDescent="0.2">
      <c r="A172" s="118">
        <v>18483</v>
      </c>
      <c r="B172" s="148">
        <v>42360</v>
      </c>
      <c r="C172" s="121">
        <v>26.95</v>
      </c>
      <c r="D172" s="121">
        <v>2.0499999999999998</v>
      </c>
      <c r="E172" s="151"/>
      <c r="F172" s="18"/>
      <c r="G172" s="19"/>
      <c r="H172" s="152"/>
      <c r="I172" s="118"/>
      <c r="J172" s="98"/>
      <c r="K172" s="120"/>
      <c r="L172" s="126"/>
      <c r="M172" s="98"/>
    </row>
    <row r="173" spans="1:13" x14ac:dyDescent="0.2">
      <c r="A173" s="118">
        <v>18484</v>
      </c>
      <c r="B173" s="148">
        <v>42360</v>
      </c>
      <c r="C173" s="121">
        <v>17.32</v>
      </c>
      <c r="D173" s="121">
        <v>1.32</v>
      </c>
      <c r="E173" s="151"/>
      <c r="F173" s="18"/>
      <c r="G173" s="19"/>
      <c r="H173" s="152"/>
      <c r="I173" s="118"/>
      <c r="J173" s="98"/>
      <c r="K173" s="120"/>
      <c r="L173" s="126"/>
      <c r="M173" s="98"/>
    </row>
    <row r="174" spans="1:13" x14ac:dyDescent="0.2">
      <c r="A174" s="118">
        <v>18485</v>
      </c>
      <c r="B174" s="148">
        <v>42360</v>
      </c>
      <c r="C174" s="121">
        <v>27.06</v>
      </c>
      <c r="D174" s="121">
        <v>2.06</v>
      </c>
      <c r="E174" s="149" t="s">
        <v>26</v>
      </c>
      <c r="H174" s="154"/>
      <c r="I174" s="118"/>
      <c r="J174" s="98"/>
      <c r="K174" s="120"/>
      <c r="L174" s="126"/>
      <c r="M174" s="98"/>
    </row>
    <row r="175" spans="1:13" x14ac:dyDescent="0.2">
      <c r="A175" s="118">
        <v>18486</v>
      </c>
      <c r="B175" s="148">
        <v>42360</v>
      </c>
      <c r="C175" s="121">
        <v>42</v>
      </c>
      <c r="D175" s="121"/>
      <c r="E175" s="149" t="s">
        <v>535</v>
      </c>
      <c r="F175" s="21"/>
      <c r="G175" s="22"/>
      <c r="H175" s="154"/>
      <c r="I175" s="118"/>
      <c r="J175" s="98"/>
      <c r="K175" s="120"/>
      <c r="L175" s="126"/>
      <c r="M175" s="98"/>
    </row>
    <row r="176" spans="1:13" x14ac:dyDescent="0.2">
      <c r="A176" s="118">
        <v>18487</v>
      </c>
      <c r="B176" s="148">
        <v>42360</v>
      </c>
      <c r="C176" s="121">
        <v>11.5</v>
      </c>
      <c r="D176" s="121"/>
      <c r="E176" s="149" t="s">
        <v>535</v>
      </c>
      <c r="F176" s="21"/>
      <c r="G176" s="22"/>
      <c r="H176" s="154"/>
      <c r="I176" s="118"/>
      <c r="J176" s="98"/>
      <c r="K176" s="120"/>
      <c r="L176" s="126"/>
      <c r="M176" s="98"/>
    </row>
    <row r="177" spans="1:13" x14ac:dyDescent="0.2">
      <c r="A177" s="118">
        <v>18488</v>
      </c>
      <c r="B177" s="148">
        <v>42360</v>
      </c>
      <c r="C177" s="121">
        <v>42.22</v>
      </c>
      <c r="D177" s="121">
        <v>3.22</v>
      </c>
      <c r="E177" s="151"/>
      <c r="I177" s="118"/>
      <c r="J177" s="98"/>
      <c r="K177" s="120"/>
      <c r="L177" s="126"/>
      <c r="M177" s="98"/>
    </row>
    <row r="178" spans="1:13" x14ac:dyDescent="0.2">
      <c r="A178" s="118">
        <v>18489</v>
      </c>
      <c r="B178" s="148">
        <v>42360</v>
      </c>
      <c r="C178" s="121">
        <v>108.77</v>
      </c>
      <c r="D178" s="121"/>
      <c r="E178" s="151" t="s">
        <v>36</v>
      </c>
      <c r="F178" s="34">
        <f>+C169+99.82</f>
        <v>237.84</v>
      </c>
      <c r="G178" s="34">
        <v>231.29</v>
      </c>
      <c r="H178" s="151"/>
      <c r="I178" s="118"/>
      <c r="J178" s="98"/>
      <c r="K178" s="120"/>
      <c r="L178" s="126"/>
      <c r="M178" s="98"/>
    </row>
    <row r="179" spans="1:13" x14ac:dyDescent="0.2">
      <c r="A179" s="118">
        <v>18490</v>
      </c>
      <c r="B179" s="148">
        <v>42361</v>
      </c>
      <c r="C179" s="121">
        <v>14.07</v>
      </c>
      <c r="D179" s="121">
        <v>1.07</v>
      </c>
      <c r="E179" s="152"/>
      <c r="H179" s="152"/>
      <c r="I179" s="118"/>
      <c r="J179" s="98"/>
      <c r="K179" s="120"/>
      <c r="L179" s="126"/>
      <c r="M179" s="98"/>
    </row>
    <row r="180" spans="1:13" x14ac:dyDescent="0.2">
      <c r="A180" s="118">
        <v>18491</v>
      </c>
      <c r="B180" s="148">
        <v>42361</v>
      </c>
      <c r="C180" s="121">
        <v>270.63</v>
      </c>
      <c r="D180" s="121">
        <v>20.63</v>
      </c>
      <c r="E180" s="149" t="s">
        <v>13</v>
      </c>
      <c r="H180" s="152"/>
      <c r="I180" s="118"/>
      <c r="J180" s="98"/>
      <c r="K180" s="120"/>
      <c r="L180" s="126"/>
      <c r="M180" s="98"/>
    </row>
    <row r="181" spans="1:13" x14ac:dyDescent="0.2">
      <c r="A181" s="118">
        <v>18492</v>
      </c>
      <c r="B181" s="148">
        <v>42361</v>
      </c>
      <c r="C181" s="121">
        <v>2.66</v>
      </c>
      <c r="D181" s="121">
        <v>0.2</v>
      </c>
      <c r="E181" s="149"/>
      <c r="H181" s="154"/>
      <c r="I181" s="118"/>
      <c r="J181" s="98"/>
      <c r="K181" s="120"/>
      <c r="L181" s="126"/>
      <c r="M181" s="98"/>
    </row>
    <row r="182" spans="1:13" x14ac:dyDescent="0.2">
      <c r="A182" s="118">
        <v>18493</v>
      </c>
      <c r="B182" s="148">
        <v>42361</v>
      </c>
      <c r="C182" s="121">
        <v>80.710000000000008</v>
      </c>
      <c r="D182" s="121">
        <v>6.15</v>
      </c>
      <c r="E182" s="152"/>
      <c r="H182" s="152"/>
      <c r="I182" s="118"/>
      <c r="J182" s="98"/>
      <c r="K182" s="120"/>
      <c r="L182" s="126"/>
      <c r="M182" s="98"/>
    </row>
    <row r="183" spans="1:13" x14ac:dyDescent="0.2">
      <c r="A183" s="118">
        <v>18494</v>
      </c>
      <c r="B183" s="148">
        <v>42361</v>
      </c>
      <c r="C183" s="121">
        <v>17.27</v>
      </c>
      <c r="D183" s="121">
        <v>1.32</v>
      </c>
      <c r="E183" s="149" t="s">
        <v>11</v>
      </c>
      <c r="H183" s="154"/>
      <c r="I183" s="118"/>
      <c r="J183" s="98"/>
      <c r="K183" s="120"/>
      <c r="L183" s="126"/>
      <c r="M183" s="98"/>
    </row>
    <row r="184" spans="1:13" x14ac:dyDescent="0.2">
      <c r="A184" s="118">
        <v>18495</v>
      </c>
      <c r="B184" s="148">
        <v>42361</v>
      </c>
      <c r="C184" s="121">
        <v>14.07</v>
      </c>
      <c r="D184" s="121">
        <v>1.07</v>
      </c>
      <c r="E184" s="152"/>
      <c r="H184" s="152"/>
      <c r="I184" s="118"/>
      <c r="J184" s="98"/>
      <c r="K184" s="120"/>
      <c r="L184" s="126"/>
      <c r="M184" s="98"/>
    </row>
    <row r="185" spans="1:13" x14ac:dyDescent="0.2">
      <c r="A185" s="118">
        <v>18496</v>
      </c>
      <c r="B185" s="148">
        <v>42361</v>
      </c>
      <c r="C185" s="121">
        <v>64.95</v>
      </c>
      <c r="D185" s="121">
        <v>4.95</v>
      </c>
      <c r="E185" s="149" t="s">
        <v>11</v>
      </c>
      <c r="H185" s="154"/>
      <c r="I185" s="118"/>
      <c r="J185" s="98"/>
      <c r="K185" s="120"/>
      <c r="L185" s="126"/>
      <c r="M185" s="98"/>
    </row>
    <row r="186" spans="1:13" x14ac:dyDescent="0.2">
      <c r="A186" s="118">
        <v>18497</v>
      </c>
      <c r="B186" s="148">
        <v>42361</v>
      </c>
      <c r="C186" s="121">
        <v>194.85</v>
      </c>
      <c r="D186" s="121"/>
      <c r="E186" s="149" t="s">
        <v>33</v>
      </c>
      <c r="H186" s="154"/>
      <c r="I186" s="118"/>
      <c r="J186" s="98"/>
      <c r="K186" s="120"/>
      <c r="L186" s="126"/>
      <c r="M186" s="98"/>
    </row>
    <row r="187" spans="1:13" x14ac:dyDescent="0.2">
      <c r="A187" s="118">
        <v>18498</v>
      </c>
      <c r="B187" s="148">
        <v>42361</v>
      </c>
      <c r="C187" s="121">
        <v>16.239999999999998</v>
      </c>
      <c r="D187" s="121">
        <v>1.24</v>
      </c>
      <c r="E187" s="149" t="s">
        <v>7</v>
      </c>
      <c r="I187" s="118"/>
      <c r="J187" s="98"/>
      <c r="K187" s="120"/>
      <c r="L187" s="126"/>
      <c r="M187" s="98"/>
    </row>
    <row r="188" spans="1:13" x14ac:dyDescent="0.2">
      <c r="A188" s="118">
        <v>18499</v>
      </c>
      <c r="B188" s="148">
        <v>42361</v>
      </c>
      <c r="C188" s="121">
        <v>55.21</v>
      </c>
      <c r="D188" s="121">
        <v>4.21</v>
      </c>
      <c r="E188" s="152"/>
      <c r="F188" s="116"/>
      <c r="G188" s="116"/>
      <c r="H188" s="152"/>
      <c r="I188" s="118"/>
      <c r="J188" s="98"/>
      <c r="K188" s="120"/>
      <c r="L188" s="126"/>
      <c r="M188" s="98"/>
    </row>
    <row r="189" spans="1:13" x14ac:dyDescent="0.2">
      <c r="A189" s="118">
        <v>18500</v>
      </c>
      <c r="B189" s="148">
        <v>42361</v>
      </c>
      <c r="C189" s="121">
        <v>21.65</v>
      </c>
      <c r="D189" s="121">
        <v>1.65</v>
      </c>
      <c r="E189" s="152"/>
      <c r="F189" s="116"/>
      <c r="G189" s="116"/>
      <c r="H189" s="152"/>
      <c r="I189" s="118"/>
      <c r="J189" s="98"/>
      <c r="K189" s="120"/>
      <c r="L189" s="126"/>
      <c r="M189" s="98"/>
    </row>
    <row r="190" spans="1:13" x14ac:dyDescent="0.2">
      <c r="A190" s="118">
        <v>18501</v>
      </c>
      <c r="B190" s="148">
        <v>42361</v>
      </c>
      <c r="C190" s="121">
        <v>338.08</v>
      </c>
      <c r="D190" s="121"/>
      <c r="E190" s="154" t="s">
        <v>16</v>
      </c>
      <c r="F190" s="22"/>
      <c r="G190" s="155"/>
      <c r="H190" s="154"/>
      <c r="I190" s="118"/>
      <c r="J190" s="98"/>
      <c r="K190" s="120"/>
      <c r="L190" s="126"/>
      <c r="M190" s="98"/>
    </row>
    <row r="191" spans="1:13" x14ac:dyDescent="0.2">
      <c r="A191" s="118">
        <v>18502</v>
      </c>
      <c r="B191" s="148">
        <v>42361</v>
      </c>
      <c r="C191" s="121">
        <v>10.77</v>
      </c>
      <c r="D191" s="121">
        <v>0.82</v>
      </c>
      <c r="E191" s="152"/>
      <c r="F191" s="20">
        <f>+C183+C185+C186+C187+106.76-0.87+65</f>
        <v>464.2</v>
      </c>
      <c r="G191" s="20">
        <f>396.42+63.21</f>
        <v>459.63</v>
      </c>
      <c r="H191" s="149"/>
      <c r="I191" s="118"/>
      <c r="J191" s="98"/>
      <c r="K191" s="120"/>
      <c r="L191" s="126"/>
      <c r="M191" s="98"/>
    </row>
    <row r="192" spans="1:13" x14ac:dyDescent="0.2">
      <c r="A192" s="118">
        <v>18503</v>
      </c>
      <c r="B192" s="148">
        <v>42362</v>
      </c>
      <c r="C192" s="121">
        <v>173.2</v>
      </c>
      <c r="D192" s="121">
        <v>13.2</v>
      </c>
      <c r="E192" s="149" t="s">
        <v>7</v>
      </c>
      <c r="F192" s="20">
        <f>+C192</f>
        <v>173.2</v>
      </c>
      <c r="G192" s="20">
        <v>172.29</v>
      </c>
      <c r="I192" s="118"/>
      <c r="J192" s="98"/>
      <c r="K192" s="120"/>
      <c r="L192" s="126"/>
      <c r="M192" s="98"/>
    </row>
    <row r="193" spans="1:13" x14ac:dyDescent="0.2">
      <c r="A193" s="118">
        <v>18504</v>
      </c>
      <c r="B193" s="148">
        <v>42364</v>
      </c>
      <c r="C193" s="121">
        <v>366.97</v>
      </c>
      <c r="D193" s="121">
        <v>27.97</v>
      </c>
      <c r="E193" s="149" t="s">
        <v>536</v>
      </c>
      <c r="H193" s="10"/>
      <c r="I193" s="118"/>
      <c r="J193" s="98"/>
      <c r="K193" s="120"/>
      <c r="L193" s="126"/>
      <c r="M193" s="98"/>
    </row>
    <row r="194" spans="1:13" x14ac:dyDescent="0.2">
      <c r="A194" s="118">
        <v>18505</v>
      </c>
      <c r="B194" s="148">
        <v>42364</v>
      </c>
      <c r="C194" s="121">
        <v>32.479999999999997</v>
      </c>
      <c r="D194" s="121">
        <v>2.48</v>
      </c>
      <c r="E194" s="149"/>
      <c r="F194" s="21"/>
      <c r="G194" s="22"/>
      <c r="H194" s="10"/>
      <c r="I194" s="118"/>
      <c r="J194" s="98"/>
      <c r="K194" s="120"/>
      <c r="L194" s="126"/>
      <c r="M194" s="98"/>
    </row>
    <row r="195" spans="1:13" x14ac:dyDescent="0.2">
      <c r="A195" s="118">
        <v>18506</v>
      </c>
      <c r="B195" s="148">
        <v>42364</v>
      </c>
      <c r="C195" s="121">
        <v>56.29</v>
      </c>
      <c r="D195" s="121">
        <v>4.29</v>
      </c>
      <c r="E195" s="149" t="s">
        <v>533</v>
      </c>
      <c r="H195" s="10"/>
      <c r="I195" s="118"/>
      <c r="J195" s="98"/>
      <c r="K195" s="120"/>
      <c r="L195" s="126"/>
      <c r="M195" s="98"/>
    </row>
    <row r="196" spans="1:13" x14ac:dyDescent="0.2">
      <c r="A196" s="118">
        <v>18507</v>
      </c>
      <c r="B196" s="148">
        <v>42364</v>
      </c>
      <c r="C196" s="121">
        <v>140.72999999999999</v>
      </c>
      <c r="D196" s="121">
        <v>10.73</v>
      </c>
      <c r="E196" s="149" t="s">
        <v>11</v>
      </c>
      <c r="I196" s="118"/>
      <c r="J196" s="98"/>
      <c r="K196" s="120"/>
      <c r="L196" s="126"/>
      <c r="M196" s="98"/>
    </row>
    <row r="197" spans="1:13" x14ac:dyDescent="0.2">
      <c r="A197" s="118">
        <v>18508</v>
      </c>
      <c r="B197" s="148">
        <v>42364</v>
      </c>
      <c r="C197" s="121">
        <v>140.72999999999999</v>
      </c>
      <c r="D197" s="121">
        <v>10.73</v>
      </c>
      <c r="E197" s="152"/>
      <c r="I197" s="118"/>
      <c r="J197" s="98"/>
      <c r="K197" s="120"/>
      <c r="L197" s="126"/>
      <c r="M197" s="98"/>
    </row>
    <row r="198" spans="1:13" x14ac:dyDescent="0.2">
      <c r="A198" s="118">
        <v>18509</v>
      </c>
      <c r="B198" s="148">
        <v>42364</v>
      </c>
      <c r="C198" s="121">
        <v>322</v>
      </c>
      <c r="D198" s="121">
        <v>24.54</v>
      </c>
      <c r="E198" s="149" t="s">
        <v>26</v>
      </c>
      <c r="F198" s="21"/>
      <c r="G198" s="22"/>
      <c r="H198" s="23"/>
      <c r="I198" s="118"/>
      <c r="J198" s="98"/>
      <c r="K198" s="120"/>
      <c r="L198" s="126"/>
      <c r="M198" s="98"/>
    </row>
    <row r="199" spans="1:13" x14ac:dyDescent="0.2">
      <c r="A199" s="118">
        <v>18510</v>
      </c>
      <c r="B199" s="148">
        <v>42364</v>
      </c>
      <c r="C199" s="121">
        <v>213</v>
      </c>
      <c r="D199" s="121"/>
      <c r="E199" s="149" t="s">
        <v>25</v>
      </c>
      <c r="I199" s="118"/>
      <c r="J199" s="98"/>
      <c r="K199" s="120"/>
      <c r="L199" s="126"/>
      <c r="M199" s="98"/>
    </row>
    <row r="200" spans="1:13" x14ac:dyDescent="0.2">
      <c r="A200" s="118">
        <v>18511</v>
      </c>
      <c r="B200" s="148">
        <v>42364</v>
      </c>
      <c r="C200" s="121">
        <v>69.28</v>
      </c>
      <c r="D200" s="121">
        <v>5.28</v>
      </c>
      <c r="E200" s="149" t="s">
        <v>11</v>
      </c>
      <c r="I200" s="118"/>
      <c r="J200" s="98"/>
      <c r="K200" s="120"/>
      <c r="L200" s="126"/>
      <c r="M200" s="98"/>
    </row>
    <row r="201" spans="1:13" x14ac:dyDescent="0.2">
      <c r="A201" s="118">
        <v>18512</v>
      </c>
      <c r="B201" s="148">
        <v>42364</v>
      </c>
      <c r="C201" s="121">
        <v>27.06</v>
      </c>
      <c r="D201" s="121">
        <v>2.06</v>
      </c>
      <c r="E201" s="149" t="s">
        <v>533</v>
      </c>
      <c r="I201" s="118"/>
      <c r="J201" s="98"/>
      <c r="K201" s="120"/>
      <c r="L201" s="126"/>
      <c r="M201" s="98"/>
    </row>
    <row r="202" spans="1:13" x14ac:dyDescent="0.2">
      <c r="A202" s="118">
        <v>18513</v>
      </c>
      <c r="B202" s="148">
        <v>42364</v>
      </c>
      <c r="C202" s="121">
        <v>222.7</v>
      </c>
      <c r="D202" s="121"/>
      <c r="E202" s="154" t="s">
        <v>16</v>
      </c>
      <c r="F202" s="20">
        <f>100+C196+C200+83.35</f>
        <v>393.36</v>
      </c>
      <c r="G202" s="20">
        <f>306.18+81.06</f>
        <v>387.24</v>
      </c>
      <c r="H202" s="15"/>
      <c r="I202" s="118"/>
      <c r="J202" s="98"/>
      <c r="K202" s="120"/>
      <c r="L202" s="126"/>
      <c r="M202" s="98"/>
    </row>
    <row r="203" spans="1:13" x14ac:dyDescent="0.2">
      <c r="A203" s="118">
        <v>18514</v>
      </c>
      <c r="B203" s="148">
        <v>42366</v>
      </c>
      <c r="C203" s="121">
        <v>18.399999999999999</v>
      </c>
      <c r="D203" s="121">
        <v>1.4</v>
      </c>
      <c r="E203" s="149" t="s">
        <v>11</v>
      </c>
      <c r="F203" s="21"/>
      <c r="G203" s="22"/>
      <c r="H203" s="23"/>
      <c r="I203" s="118"/>
      <c r="J203" s="98"/>
      <c r="K203" s="120"/>
      <c r="L203" s="126"/>
      <c r="M203" s="98"/>
    </row>
    <row r="204" spans="1:13" x14ac:dyDescent="0.2">
      <c r="A204" s="118">
        <v>18515</v>
      </c>
      <c r="B204" s="148">
        <v>42366</v>
      </c>
      <c r="C204" s="121">
        <v>314.99999999999994</v>
      </c>
      <c r="D204" s="121">
        <v>24.01</v>
      </c>
      <c r="E204" s="152"/>
      <c r="F204" s="18"/>
      <c r="G204" s="19"/>
      <c r="H204" s="17"/>
      <c r="I204" s="118"/>
      <c r="J204" s="98"/>
      <c r="K204" s="120"/>
      <c r="L204" s="126"/>
      <c r="M204" s="98"/>
    </row>
    <row r="205" spans="1:13" x14ac:dyDescent="0.2">
      <c r="A205" s="118">
        <v>18516</v>
      </c>
      <c r="B205" s="148">
        <v>42366</v>
      </c>
      <c r="C205" s="121">
        <v>140.72999999999999</v>
      </c>
      <c r="D205" s="121">
        <v>10.73</v>
      </c>
      <c r="E205" s="152"/>
      <c r="F205" s="18"/>
      <c r="G205" s="19"/>
      <c r="H205" s="17"/>
      <c r="I205" s="118"/>
      <c r="J205" s="98"/>
      <c r="K205" s="120"/>
      <c r="L205" s="126"/>
      <c r="M205" s="98"/>
    </row>
    <row r="206" spans="1:13" x14ac:dyDescent="0.2">
      <c r="A206" s="118">
        <v>18517</v>
      </c>
      <c r="B206" s="148">
        <v>42366</v>
      </c>
      <c r="C206" s="121">
        <v>10</v>
      </c>
      <c r="D206" s="121">
        <v>0.76</v>
      </c>
      <c r="E206" s="152"/>
      <c r="H206" s="17"/>
      <c r="I206" s="118"/>
      <c r="J206" s="98"/>
      <c r="K206" s="120"/>
      <c r="L206" s="126"/>
      <c r="M206" s="98"/>
    </row>
    <row r="207" spans="1:13" x14ac:dyDescent="0.2">
      <c r="A207" s="118">
        <v>18518</v>
      </c>
      <c r="B207" s="148">
        <v>42366</v>
      </c>
      <c r="C207" s="121">
        <v>81</v>
      </c>
      <c r="D207" s="121">
        <v>6.17</v>
      </c>
      <c r="E207" s="149" t="s">
        <v>11</v>
      </c>
      <c r="F207" s="21"/>
      <c r="G207" s="22"/>
      <c r="H207" s="23"/>
      <c r="I207" s="118"/>
      <c r="J207" s="98"/>
      <c r="K207" s="120"/>
      <c r="L207" s="126"/>
      <c r="M207" s="98"/>
    </row>
    <row r="208" spans="1:13" x14ac:dyDescent="0.2">
      <c r="A208" s="118">
        <v>18519</v>
      </c>
      <c r="B208" s="148">
        <v>42366</v>
      </c>
      <c r="C208" s="121">
        <v>10.83</v>
      </c>
      <c r="D208" s="121">
        <v>0.83</v>
      </c>
      <c r="E208" s="152"/>
      <c r="H208" s="17"/>
      <c r="I208" s="118"/>
      <c r="J208" s="98"/>
      <c r="K208" s="120"/>
      <c r="L208" s="126"/>
      <c r="M208" s="98"/>
    </row>
    <row r="209" spans="1:13" x14ac:dyDescent="0.2">
      <c r="A209" s="118">
        <v>18520</v>
      </c>
      <c r="B209" s="148">
        <v>42366</v>
      </c>
      <c r="C209" s="121">
        <v>208</v>
      </c>
      <c r="D209" s="121">
        <v>15.85</v>
      </c>
      <c r="E209" s="154"/>
      <c r="F209" s="21"/>
      <c r="G209" s="22"/>
      <c r="H209" s="23"/>
      <c r="I209" s="118"/>
      <c r="J209" s="98"/>
      <c r="K209" s="120"/>
      <c r="L209" s="126"/>
      <c r="M209" s="98"/>
    </row>
    <row r="210" spans="1:13" x14ac:dyDescent="0.2">
      <c r="A210" s="118">
        <v>18521</v>
      </c>
      <c r="B210" s="148">
        <v>42366</v>
      </c>
      <c r="C210" s="121">
        <v>20.03</v>
      </c>
      <c r="D210" s="121">
        <v>1.53</v>
      </c>
      <c r="E210" s="149" t="s">
        <v>11</v>
      </c>
      <c r="H210" s="23"/>
      <c r="I210" s="118"/>
      <c r="J210" s="98"/>
      <c r="K210" s="120"/>
      <c r="L210" s="126"/>
      <c r="M210" s="98"/>
    </row>
    <row r="211" spans="1:13" x14ac:dyDescent="0.2">
      <c r="A211" s="118">
        <v>18522</v>
      </c>
      <c r="B211" s="148">
        <v>42366</v>
      </c>
      <c r="C211" s="121">
        <v>154.80000000000001</v>
      </c>
      <c r="D211" s="121">
        <v>11.8</v>
      </c>
      <c r="E211" s="152"/>
      <c r="F211" s="18"/>
      <c r="G211" s="19"/>
      <c r="H211" s="17"/>
      <c r="I211" s="118"/>
      <c r="J211" s="98"/>
      <c r="K211" s="120"/>
      <c r="L211" s="126"/>
      <c r="M211" s="98"/>
    </row>
    <row r="212" spans="1:13" x14ac:dyDescent="0.2">
      <c r="A212" s="118">
        <v>18523</v>
      </c>
      <c r="B212" s="148">
        <v>42366</v>
      </c>
      <c r="C212" s="121">
        <v>80</v>
      </c>
      <c r="D212" s="121">
        <v>6.1</v>
      </c>
      <c r="E212" s="149" t="s">
        <v>11</v>
      </c>
      <c r="F212" s="21"/>
      <c r="G212" s="22"/>
      <c r="H212" s="23"/>
      <c r="I212" s="118"/>
      <c r="J212" s="98"/>
      <c r="K212" s="120"/>
      <c r="L212" s="126"/>
      <c r="M212" s="98"/>
    </row>
    <row r="213" spans="1:13" x14ac:dyDescent="0.2">
      <c r="A213" s="118">
        <v>18524</v>
      </c>
      <c r="B213" s="148">
        <v>42366</v>
      </c>
      <c r="C213" s="121">
        <v>10</v>
      </c>
      <c r="D213" s="121"/>
      <c r="E213" s="151"/>
      <c r="F213" s="18"/>
      <c r="G213" s="19"/>
      <c r="H213" s="17"/>
      <c r="I213" s="118"/>
      <c r="J213" s="98"/>
      <c r="K213" s="120"/>
      <c r="L213" s="126"/>
      <c r="M213" s="98"/>
    </row>
    <row r="214" spans="1:13" x14ac:dyDescent="0.2">
      <c r="A214" s="118">
        <v>18525</v>
      </c>
      <c r="B214" s="148">
        <v>42366</v>
      </c>
      <c r="C214" s="121">
        <v>32.849999999999994</v>
      </c>
      <c r="D214" s="121">
        <v>2.5</v>
      </c>
      <c r="E214" s="149" t="s">
        <v>11</v>
      </c>
      <c r="F214" s="21"/>
      <c r="G214" s="22"/>
      <c r="H214" s="23"/>
      <c r="I214" s="118"/>
      <c r="J214" s="98"/>
      <c r="K214" s="120"/>
      <c r="L214" s="126"/>
      <c r="M214" s="98"/>
    </row>
    <row r="215" spans="1:13" x14ac:dyDescent="0.2">
      <c r="A215" s="118">
        <v>18526</v>
      </c>
      <c r="B215" s="148">
        <v>42366</v>
      </c>
      <c r="C215" s="121">
        <v>114.75</v>
      </c>
      <c r="D215" s="121">
        <v>8.75</v>
      </c>
      <c r="E215" s="149" t="s">
        <v>11</v>
      </c>
      <c r="H215" s="23"/>
      <c r="I215" s="118"/>
      <c r="J215" s="98"/>
      <c r="K215" s="120"/>
      <c r="L215" s="126"/>
      <c r="M215" s="98"/>
    </row>
    <row r="216" spans="1:13" x14ac:dyDescent="0.2">
      <c r="A216" s="118">
        <v>18527</v>
      </c>
      <c r="B216" s="148">
        <v>42366</v>
      </c>
      <c r="C216" s="121">
        <v>426</v>
      </c>
      <c r="D216" s="121">
        <v>32.47</v>
      </c>
      <c r="E216" s="152"/>
      <c r="F216" s="20">
        <f>+C203+C207+C210+C212+C214+C215</f>
        <v>347.03</v>
      </c>
      <c r="G216" s="20">
        <v>343.22</v>
      </c>
      <c r="H216" s="17"/>
      <c r="I216" s="118"/>
      <c r="J216" s="98"/>
      <c r="K216" s="120"/>
      <c r="L216" s="126"/>
      <c r="M216" s="98"/>
    </row>
    <row r="217" spans="1:13" x14ac:dyDescent="0.2">
      <c r="A217" s="118">
        <v>18528</v>
      </c>
      <c r="B217" s="148">
        <v>42367</v>
      </c>
      <c r="C217" s="121">
        <v>134.55000000000001</v>
      </c>
      <c r="D217" s="121">
        <v>10.25</v>
      </c>
      <c r="E217" s="149" t="s">
        <v>11</v>
      </c>
      <c r="H217" s="23"/>
      <c r="I217" s="118"/>
      <c r="J217" s="98"/>
      <c r="K217" s="120"/>
      <c r="L217" s="126"/>
      <c r="M217" s="98"/>
    </row>
    <row r="218" spans="1:13" x14ac:dyDescent="0.2">
      <c r="A218" s="118">
        <v>18529</v>
      </c>
      <c r="B218" s="148">
        <v>42367</v>
      </c>
      <c r="C218" s="121">
        <v>12.99</v>
      </c>
      <c r="D218" s="121">
        <v>0.99</v>
      </c>
      <c r="E218" s="152"/>
      <c r="H218" s="17"/>
      <c r="I218" s="118"/>
      <c r="J218" s="98"/>
      <c r="K218" s="120"/>
      <c r="L218" s="126"/>
      <c r="M218" s="98"/>
    </row>
    <row r="219" spans="1:13" x14ac:dyDescent="0.2">
      <c r="A219" s="118">
        <v>18530</v>
      </c>
      <c r="B219" s="148">
        <v>42367</v>
      </c>
      <c r="C219" s="121">
        <v>5</v>
      </c>
      <c r="D219" s="121"/>
      <c r="E219" s="151" t="s">
        <v>365</v>
      </c>
      <c r="F219" s="18"/>
      <c r="G219" s="19"/>
      <c r="H219" s="17"/>
      <c r="I219" s="118"/>
      <c r="J219" s="98"/>
      <c r="K219" s="120"/>
      <c r="L219" s="126"/>
      <c r="M219" s="98"/>
    </row>
    <row r="220" spans="1:13" x14ac:dyDescent="0.2">
      <c r="A220" s="118">
        <v>18531</v>
      </c>
      <c r="B220" s="148">
        <v>42367</v>
      </c>
      <c r="C220" s="121">
        <v>5.8500000000000059</v>
      </c>
      <c r="D220" s="121">
        <v>0.45</v>
      </c>
      <c r="E220" s="149" t="s">
        <v>11</v>
      </c>
      <c r="H220" s="23"/>
      <c r="I220" s="118"/>
      <c r="J220" s="98"/>
      <c r="K220" s="120"/>
      <c r="L220" s="126"/>
      <c r="M220" s="98"/>
    </row>
    <row r="221" spans="1:13" x14ac:dyDescent="0.2">
      <c r="A221" s="118">
        <v>18532</v>
      </c>
      <c r="B221" s="148">
        <v>42367</v>
      </c>
      <c r="C221" s="121">
        <v>27.0625</v>
      </c>
      <c r="D221" s="121">
        <v>2.0625</v>
      </c>
      <c r="E221" s="152"/>
      <c r="H221" s="17"/>
      <c r="I221" s="118"/>
      <c r="J221" s="98"/>
      <c r="K221" s="120"/>
      <c r="L221" s="126"/>
      <c r="M221" s="98"/>
    </row>
    <row r="222" spans="1:13" x14ac:dyDescent="0.2">
      <c r="A222" s="118">
        <v>18533</v>
      </c>
      <c r="B222" s="148">
        <v>42367</v>
      </c>
      <c r="C222" s="121"/>
      <c r="D222" s="121"/>
      <c r="E222" s="149" t="s">
        <v>537</v>
      </c>
      <c r="H222" s="23"/>
      <c r="I222" s="118"/>
      <c r="J222" s="98"/>
      <c r="K222" s="120"/>
      <c r="L222" s="126"/>
      <c r="M222" s="98"/>
    </row>
    <row r="223" spans="1:13" x14ac:dyDescent="0.2">
      <c r="A223" s="118">
        <v>18534</v>
      </c>
      <c r="B223" s="148">
        <v>42367</v>
      </c>
      <c r="C223" s="121">
        <v>231.11</v>
      </c>
      <c r="D223" s="121">
        <v>17.61</v>
      </c>
      <c r="E223" s="149" t="s">
        <v>538</v>
      </c>
      <c r="F223" s="21"/>
      <c r="G223" s="22"/>
      <c r="H223" s="23"/>
      <c r="I223" s="118"/>
      <c r="J223" s="98"/>
      <c r="K223" s="120"/>
      <c r="L223" s="126"/>
      <c r="M223" s="98"/>
    </row>
    <row r="224" spans="1:13" x14ac:dyDescent="0.2">
      <c r="A224" s="118">
        <v>18535</v>
      </c>
      <c r="B224" s="148">
        <v>42367</v>
      </c>
      <c r="C224" s="121">
        <v>50.769999999999996</v>
      </c>
      <c r="D224" s="121">
        <v>3.87</v>
      </c>
      <c r="E224" s="149" t="s">
        <v>523</v>
      </c>
      <c r="I224" s="118"/>
      <c r="J224" s="98"/>
      <c r="K224" s="120"/>
      <c r="L224" s="126"/>
      <c r="M224" s="98"/>
    </row>
    <row r="225" spans="1:13" x14ac:dyDescent="0.2">
      <c r="A225" s="118">
        <v>18536</v>
      </c>
      <c r="B225" s="148">
        <v>42367</v>
      </c>
      <c r="C225" s="121">
        <v>8.5500000000000007</v>
      </c>
      <c r="D225" s="121">
        <v>0.65</v>
      </c>
      <c r="E225" s="149" t="s">
        <v>13</v>
      </c>
      <c r="I225" s="118"/>
      <c r="J225" s="98"/>
      <c r="K225" s="120"/>
      <c r="L225" s="126"/>
      <c r="M225" s="98"/>
    </row>
    <row r="226" spans="1:13" x14ac:dyDescent="0.2">
      <c r="A226" s="118">
        <v>18537</v>
      </c>
      <c r="B226" s="148">
        <v>42367</v>
      </c>
      <c r="C226" s="121">
        <v>21.599999999999998</v>
      </c>
      <c r="D226" s="121">
        <v>1.65</v>
      </c>
      <c r="E226" s="152"/>
      <c r="I226" s="118"/>
      <c r="J226" s="98"/>
      <c r="K226" s="120"/>
      <c r="L226" s="126"/>
      <c r="M226" s="98"/>
    </row>
    <row r="227" spans="1:13" x14ac:dyDescent="0.2">
      <c r="A227" s="118">
        <v>18538</v>
      </c>
      <c r="B227" s="148">
        <v>42367</v>
      </c>
      <c r="C227" s="121">
        <v>23.54</v>
      </c>
      <c r="D227" s="121"/>
      <c r="E227" s="151" t="s">
        <v>365</v>
      </c>
      <c r="I227" s="118"/>
      <c r="J227" s="98"/>
      <c r="K227" s="120"/>
      <c r="L227" s="126"/>
      <c r="M227" s="98"/>
    </row>
    <row r="228" spans="1:13" x14ac:dyDescent="0.2">
      <c r="A228" s="118">
        <v>18539</v>
      </c>
      <c r="B228" s="148">
        <v>42367</v>
      </c>
      <c r="C228" s="121">
        <v>41.14</v>
      </c>
      <c r="D228" s="121">
        <v>3.14</v>
      </c>
      <c r="E228" s="152"/>
      <c r="I228" s="118"/>
      <c r="J228" s="98"/>
      <c r="K228" s="120"/>
      <c r="L228" s="126"/>
      <c r="M228" s="98"/>
    </row>
    <row r="229" spans="1:13" x14ac:dyDescent="0.2">
      <c r="A229" s="118">
        <v>18540</v>
      </c>
      <c r="B229" s="148">
        <v>42367</v>
      </c>
      <c r="C229" s="121">
        <v>16.510000000000002</v>
      </c>
      <c r="D229" s="121">
        <v>1.26</v>
      </c>
      <c r="E229" s="152"/>
      <c r="I229" s="118"/>
      <c r="J229" s="98"/>
      <c r="K229" s="120"/>
      <c r="L229" s="126"/>
      <c r="M229" s="98"/>
    </row>
    <row r="230" spans="1:13" x14ac:dyDescent="0.2">
      <c r="A230" s="118">
        <v>18541</v>
      </c>
      <c r="B230" s="148">
        <v>42367</v>
      </c>
      <c r="C230" s="121">
        <v>42.22</v>
      </c>
      <c r="D230" s="121">
        <v>3.22</v>
      </c>
      <c r="E230" s="149" t="s">
        <v>523</v>
      </c>
      <c r="F230" s="20">
        <f>+C220+100+C225+C180+92.99</f>
        <v>478.02</v>
      </c>
      <c r="G230" s="20">
        <f>381.02+90.43</f>
        <v>471.45</v>
      </c>
      <c r="H230" s="15"/>
      <c r="I230" s="118"/>
      <c r="J230" s="98"/>
      <c r="K230" s="120"/>
      <c r="L230" s="126"/>
      <c r="M230" s="98"/>
    </row>
    <row r="231" spans="1:13" x14ac:dyDescent="0.2">
      <c r="A231" s="118">
        <v>18542</v>
      </c>
      <c r="B231" s="148">
        <v>42368</v>
      </c>
      <c r="C231" s="121">
        <v>48.71</v>
      </c>
      <c r="D231" s="121">
        <v>3.71</v>
      </c>
      <c r="E231" s="149" t="s">
        <v>539</v>
      </c>
      <c r="H231" s="23"/>
      <c r="I231" s="118"/>
      <c r="J231" s="98"/>
      <c r="K231" s="120"/>
      <c r="L231" s="126"/>
      <c r="M231" s="98"/>
    </row>
    <row r="232" spans="1:13" x14ac:dyDescent="0.2">
      <c r="A232" s="118">
        <v>18543</v>
      </c>
      <c r="B232" s="148">
        <v>42368</v>
      </c>
      <c r="C232" s="121">
        <v>4.0599999999999996</v>
      </c>
      <c r="D232" s="121">
        <v>0.31</v>
      </c>
      <c r="E232" s="152"/>
      <c r="H232" s="17"/>
      <c r="I232" s="118"/>
      <c r="J232" s="98"/>
      <c r="K232" s="120"/>
      <c r="L232" s="126"/>
      <c r="M232" s="98"/>
    </row>
    <row r="233" spans="1:13" x14ac:dyDescent="0.2">
      <c r="A233" s="118">
        <v>18544</v>
      </c>
      <c r="B233" s="148">
        <v>42368</v>
      </c>
      <c r="C233" s="121">
        <v>-22.349999999999998</v>
      </c>
      <c r="D233" s="121">
        <v>-1.7</v>
      </c>
      <c r="E233" s="152"/>
      <c r="H233" s="17"/>
      <c r="I233" s="118"/>
      <c r="J233" s="98"/>
      <c r="K233" s="120"/>
      <c r="L233" s="126"/>
      <c r="M233" s="98"/>
    </row>
    <row r="234" spans="1:13" x14ac:dyDescent="0.2">
      <c r="A234" s="118">
        <v>18545</v>
      </c>
      <c r="B234" s="148">
        <v>42368</v>
      </c>
      <c r="C234" s="121">
        <v>190.52</v>
      </c>
      <c r="D234" s="121">
        <v>14.52</v>
      </c>
      <c r="E234" s="149" t="s">
        <v>540</v>
      </c>
      <c r="H234" s="23"/>
      <c r="I234" s="118"/>
      <c r="J234" s="98"/>
      <c r="K234" s="120"/>
      <c r="L234" s="126"/>
      <c r="M234" s="98"/>
    </row>
    <row r="235" spans="1:13" x14ac:dyDescent="0.2">
      <c r="A235" s="118">
        <v>18546</v>
      </c>
      <c r="B235" s="148">
        <v>42368</v>
      </c>
      <c r="C235" s="121">
        <v>16.18</v>
      </c>
      <c r="D235" s="121">
        <v>1.23</v>
      </c>
      <c r="E235" s="149" t="s">
        <v>11</v>
      </c>
      <c r="H235" s="23"/>
      <c r="I235" s="118"/>
      <c r="J235" s="98"/>
      <c r="K235" s="120"/>
      <c r="L235" s="126"/>
      <c r="M235" s="98"/>
    </row>
    <row r="236" spans="1:13" x14ac:dyDescent="0.2">
      <c r="A236" s="118">
        <v>18547</v>
      </c>
      <c r="B236" s="148">
        <v>42368</v>
      </c>
      <c r="C236" s="121">
        <v>16.18</v>
      </c>
      <c r="D236" s="121">
        <v>1.23</v>
      </c>
      <c r="E236" s="152"/>
      <c r="F236" s="20">
        <f>+C217+C234+C235+2</f>
        <v>343.25000000000006</v>
      </c>
      <c r="G236" s="20">
        <v>339.09</v>
      </c>
      <c r="H236" s="17"/>
      <c r="I236" s="118"/>
      <c r="J236" s="98"/>
      <c r="K236" s="120"/>
      <c r="L236" s="126"/>
      <c r="M236" s="98"/>
    </row>
    <row r="237" spans="1:13" x14ac:dyDescent="0.2">
      <c r="A237" s="118">
        <v>18548</v>
      </c>
      <c r="B237" s="148">
        <v>42369</v>
      </c>
      <c r="C237" s="121">
        <v>150</v>
      </c>
      <c r="D237" s="121"/>
      <c r="E237" s="151" t="s">
        <v>365</v>
      </c>
      <c r="F237" s="18"/>
      <c r="G237" s="19"/>
      <c r="H237" s="17"/>
      <c r="I237" s="118"/>
      <c r="J237" s="98"/>
      <c r="K237" s="120"/>
      <c r="L237" s="126"/>
      <c r="M237" s="98"/>
    </row>
    <row r="238" spans="1:13" x14ac:dyDescent="0.2">
      <c r="A238" s="118">
        <v>18549</v>
      </c>
      <c r="B238" s="148">
        <v>42369</v>
      </c>
      <c r="C238" s="121">
        <v>10.83</v>
      </c>
      <c r="D238" s="121">
        <v>0.83</v>
      </c>
      <c r="E238" s="152"/>
      <c r="H238" s="17"/>
      <c r="I238" s="118"/>
      <c r="J238" s="98"/>
      <c r="K238" s="120"/>
      <c r="L238" s="126"/>
      <c r="M238" s="98"/>
    </row>
    <row r="239" spans="1:13" x14ac:dyDescent="0.2">
      <c r="A239" s="118">
        <v>18550</v>
      </c>
      <c r="B239" s="148">
        <v>42369</v>
      </c>
      <c r="C239" s="121">
        <v>30.31</v>
      </c>
      <c r="D239" s="121">
        <v>2.31</v>
      </c>
      <c r="E239" s="152"/>
      <c r="F239" s="20">
        <v>0</v>
      </c>
      <c r="G239" s="20">
        <f>+F239*0.97831</f>
        <v>0</v>
      </c>
      <c r="H239" s="17"/>
      <c r="I239" s="118"/>
      <c r="J239" s="98"/>
      <c r="K239" s="120"/>
      <c r="L239" s="126"/>
      <c r="M239" s="98"/>
    </row>
    <row r="240" spans="1:13" x14ac:dyDescent="0.2">
      <c r="A240" s="118"/>
      <c r="B240" s="148"/>
      <c r="C240" s="121"/>
      <c r="D240" s="121"/>
      <c r="E240" s="154"/>
      <c r="F240" s="21"/>
      <c r="G240" s="22"/>
      <c r="H240" s="183"/>
      <c r="I240" s="183"/>
      <c r="J240" s="77"/>
      <c r="K240" s="78"/>
      <c r="L240" s="184"/>
      <c r="M240" s="98"/>
    </row>
    <row r="241" spans="1:13" x14ac:dyDescent="0.2">
      <c r="A241" s="98"/>
      <c r="B241" s="148"/>
      <c r="C241" s="122"/>
      <c r="D241" s="98"/>
      <c r="E241" s="158"/>
      <c r="F241" s="98"/>
      <c r="G241" s="98"/>
      <c r="H241" s="183"/>
      <c r="I241" s="77"/>
      <c r="J241" s="77"/>
      <c r="K241" s="77"/>
      <c r="L241" s="184"/>
      <c r="M241" s="98"/>
    </row>
    <row r="242" spans="1:13" x14ac:dyDescent="0.2">
      <c r="A242" s="98"/>
      <c r="B242" s="148"/>
      <c r="C242" s="122"/>
      <c r="D242" s="98"/>
      <c r="E242" s="158"/>
      <c r="F242" s="98"/>
      <c r="G242" s="98"/>
      <c r="H242" s="185"/>
      <c r="I242" s="186"/>
      <c r="J242" s="78"/>
      <c r="L242" s="184"/>
      <c r="M242" s="98"/>
    </row>
    <row r="243" spans="1:13" x14ac:dyDescent="0.2">
      <c r="A243" s="98"/>
      <c r="B243" s="148"/>
      <c r="C243" s="122"/>
      <c r="D243" s="98"/>
      <c r="E243" s="158"/>
      <c r="F243" s="98"/>
      <c r="G243" s="98"/>
      <c r="H243" s="185"/>
      <c r="I243" s="186"/>
      <c r="J243" s="78"/>
      <c r="L243" s="184"/>
      <c r="M243" s="98"/>
    </row>
    <row r="244" spans="1:13" x14ac:dyDescent="0.2">
      <c r="A244" s="98"/>
      <c r="B244" s="148"/>
      <c r="C244" s="122"/>
      <c r="D244" s="98"/>
      <c r="E244" s="158"/>
      <c r="F244" s="98"/>
      <c r="G244" s="98"/>
      <c r="H244" s="183"/>
      <c r="I244" s="186"/>
      <c r="J244" s="78"/>
      <c r="L244" s="184"/>
      <c r="M244" s="98"/>
    </row>
    <row r="245" spans="1:13" x14ac:dyDescent="0.2">
      <c r="A245" s="98"/>
      <c r="B245" s="148"/>
      <c r="C245" s="122"/>
      <c r="D245" s="98"/>
      <c r="E245" s="158"/>
      <c r="F245" s="98"/>
      <c r="G245" s="98"/>
      <c r="H245" s="183"/>
      <c r="I245" s="186"/>
      <c r="J245" s="78"/>
      <c r="L245" s="184"/>
      <c r="M245" s="98"/>
    </row>
    <row r="246" spans="1:13" x14ac:dyDescent="0.2">
      <c r="A246" s="98"/>
      <c r="B246" s="148"/>
      <c r="C246" s="122"/>
      <c r="D246" s="98"/>
      <c r="E246" s="158"/>
      <c r="F246" s="98"/>
      <c r="G246" s="98"/>
      <c r="H246" s="185"/>
      <c r="I246" s="186"/>
      <c r="J246" s="78"/>
      <c r="L246" s="184"/>
      <c r="M246" s="98"/>
    </row>
    <row r="247" spans="1:13" x14ac:dyDescent="0.2">
      <c r="A247" s="98"/>
      <c r="B247" s="148"/>
      <c r="C247" s="122"/>
      <c r="D247" s="98"/>
      <c r="E247" s="158"/>
      <c r="F247" s="98"/>
      <c r="G247" s="98"/>
      <c r="H247" s="185"/>
      <c r="I247" s="186"/>
      <c r="J247" s="78"/>
      <c r="L247" s="184"/>
      <c r="M247" s="98"/>
    </row>
    <row r="248" spans="1:13" x14ac:dyDescent="0.2">
      <c r="A248" s="98"/>
      <c r="B248" s="148"/>
      <c r="C248" s="122"/>
      <c r="D248" s="98"/>
      <c r="E248" s="158"/>
      <c r="F248" s="98"/>
      <c r="G248" s="98"/>
      <c r="H248" s="183"/>
      <c r="I248" s="186"/>
      <c r="J248" s="78"/>
      <c r="K248" s="78"/>
      <c r="L248" s="184"/>
      <c r="M248" s="98"/>
    </row>
    <row r="249" spans="1:13" x14ac:dyDescent="0.2">
      <c r="A249" s="98"/>
      <c r="B249" s="148"/>
      <c r="C249" s="122"/>
      <c r="D249" s="98"/>
      <c r="E249" s="158"/>
      <c r="F249" s="98"/>
      <c r="G249" s="98"/>
      <c r="H249" s="185"/>
      <c r="I249" s="186"/>
      <c r="J249" s="78"/>
      <c r="K249" s="78"/>
      <c r="L249" s="184"/>
      <c r="M249" s="98"/>
    </row>
    <row r="250" spans="1:13" x14ac:dyDescent="0.2">
      <c r="A250" s="98"/>
      <c r="B250" s="148"/>
      <c r="C250" s="122"/>
      <c r="D250" s="98"/>
      <c r="E250" s="158"/>
      <c r="F250" s="98"/>
      <c r="G250" s="98"/>
      <c r="H250" s="185"/>
      <c r="I250" s="186"/>
      <c r="J250" s="78"/>
      <c r="K250" s="78"/>
      <c r="L250" s="184"/>
      <c r="M250" s="98"/>
    </row>
    <row r="251" spans="1:13" x14ac:dyDescent="0.2">
      <c r="A251" s="98"/>
      <c r="B251" s="148"/>
      <c r="C251" s="122"/>
      <c r="D251" s="98"/>
      <c r="E251" s="158"/>
      <c r="F251" s="98"/>
      <c r="G251" s="98"/>
      <c r="H251" s="185"/>
      <c r="I251" s="186"/>
      <c r="J251" s="78"/>
      <c r="K251" s="78"/>
      <c r="L251" s="184"/>
      <c r="M251" s="98"/>
    </row>
    <row r="252" spans="1:13" x14ac:dyDescent="0.2">
      <c r="A252" s="98"/>
      <c r="B252" s="148"/>
      <c r="C252" s="122"/>
      <c r="D252" s="98"/>
      <c r="E252" s="158"/>
      <c r="F252" s="98"/>
      <c r="G252" s="98"/>
      <c r="H252" s="185"/>
      <c r="I252" s="186"/>
      <c r="J252" s="78"/>
      <c r="K252" s="78"/>
      <c r="L252" s="184"/>
    </row>
    <row r="253" spans="1:13" x14ac:dyDescent="0.2">
      <c r="A253" s="98"/>
      <c r="B253" s="148"/>
      <c r="C253" s="122"/>
      <c r="D253" s="98"/>
      <c r="E253" s="158"/>
      <c r="F253" s="98"/>
      <c r="G253" s="98"/>
      <c r="H253" s="185"/>
      <c r="I253" s="186"/>
      <c r="J253" s="78"/>
      <c r="K253" s="78"/>
      <c r="L253" s="184"/>
    </row>
    <row r="254" spans="1:13" x14ac:dyDescent="0.2">
      <c r="A254" s="98"/>
      <c r="B254" s="148"/>
      <c r="C254" s="122"/>
      <c r="D254" s="98"/>
      <c r="E254" s="158"/>
      <c r="F254" s="98"/>
      <c r="G254" s="98"/>
      <c r="H254" s="185"/>
      <c r="I254" s="186"/>
      <c r="J254" s="78"/>
      <c r="K254" s="78"/>
      <c r="L254" s="184"/>
    </row>
    <row r="255" spans="1:13" x14ac:dyDescent="0.2">
      <c r="A255" s="98"/>
      <c r="B255" s="148"/>
      <c r="C255" s="122"/>
      <c r="D255" s="98"/>
      <c r="E255" s="158"/>
      <c r="F255" s="98"/>
      <c r="G255" s="98"/>
      <c r="H255" s="85"/>
      <c r="I255" s="186"/>
      <c r="J255" s="78"/>
      <c r="K255" s="78"/>
      <c r="L255" s="184"/>
    </row>
    <row r="256" spans="1:13" x14ac:dyDescent="0.2">
      <c r="A256" s="98"/>
      <c r="B256" s="148"/>
      <c r="C256" s="122"/>
      <c r="D256" s="98"/>
      <c r="E256" s="158"/>
      <c r="F256" s="98"/>
      <c r="G256" s="98"/>
      <c r="H256" s="85"/>
      <c r="I256" s="77"/>
      <c r="J256" s="77"/>
      <c r="K256" s="77"/>
      <c r="L256" s="184"/>
    </row>
    <row r="257" spans="1:12" x14ac:dyDescent="0.2">
      <c r="A257" s="98"/>
      <c r="B257" s="148"/>
      <c r="C257" s="122"/>
      <c r="D257" s="98"/>
      <c r="E257" s="158"/>
      <c r="F257" s="98"/>
      <c r="G257" s="98"/>
      <c r="H257" s="85"/>
      <c r="I257" s="77"/>
      <c r="J257" s="77"/>
      <c r="K257" s="77"/>
      <c r="L257" s="184"/>
    </row>
    <row r="258" spans="1:12" x14ac:dyDescent="0.2">
      <c r="A258" s="98"/>
      <c r="B258" s="148"/>
      <c r="C258" s="122"/>
      <c r="D258" s="98"/>
      <c r="E258" s="158"/>
      <c r="F258" s="98"/>
      <c r="G258" s="98"/>
      <c r="H258" s="85"/>
      <c r="I258" s="77"/>
      <c r="J258" s="77"/>
      <c r="K258" s="77"/>
      <c r="L258" s="184"/>
    </row>
    <row r="259" spans="1:12" x14ac:dyDescent="0.2">
      <c r="A259" s="98"/>
      <c r="B259" s="148"/>
      <c r="C259" s="122"/>
      <c r="D259" s="98"/>
      <c r="E259" s="158"/>
      <c r="F259" s="98"/>
      <c r="G259" s="98"/>
      <c r="H259" s="85"/>
      <c r="I259" s="77"/>
      <c r="J259" s="77"/>
      <c r="K259" s="77"/>
      <c r="L259" s="77"/>
    </row>
    <row r="260" spans="1:12" x14ac:dyDescent="0.2">
      <c r="E260" s="26"/>
      <c r="H260" s="85"/>
      <c r="I260" s="77"/>
      <c r="J260" s="77"/>
      <c r="K260" s="77"/>
      <c r="L260" s="77"/>
    </row>
    <row r="261" spans="1:12" x14ac:dyDescent="0.2">
      <c r="E261" s="26"/>
    </row>
    <row r="262" spans="1:12" x14ac:dyDescent="0.2">
      <c r="E262" s="26"/>
    </row>
    <row r="263" spans="1:12" x14ac:dyDescent="0.2">
      <c r="E263" s="26"/>
    </row>
    <row r="264" spans="1:12" x14ac:dyDescent="0.2">
      <c r="E264" s="26"/>
    </row>
    <row r="265" spans="1:12" x14ac:dyDescent="0.2">
      <c r="E265" s="26"/>
    </row>
    <row r="266" spans="1:12" x14ac:dyDescent="0.2">
      <c r="E266" s="26"/>
    </row>
    <row r="267" spans="1:12" x14ac:dyDescent="0.2">
      <c r="E267" s="26"/>
    </row>
    <row r="268" spans="1:12" x14ac:dyDescent="0.2">
      <c r="E268" s="26"/>
    </row>
    <row r="269" spans="1:12" x14ac:dyDescent="0.2">
      <c r="E269" s="26"/>
    </row>
    <row r="270" spans="1:12" x14ac:dyDescent="0.2">
      <c r="E270" s="26"/>
    </row>
    <row r="271" spans="1:12" x14ac:dyDescent="0.2">
      <c r="E271" s="26"/>
    </row>
    <row r="272" spans="1:12" x14ac:dyDescent="0.2">
      <c r="E272" s="26"/>
    </row>
    <row r="273" spans="1:28" x14ac:dyDescent="0.2">
      <c r="E273" s="26"/>
    </row>
    <row r="274" spans="1:28" x14ac:dyDescent="0.2">
      <c r="E274" s="26"/>
    </row>
    <row r="275" spans="1:28" s="29" customFormat="1" x14ac:dyDescent="0.2">
      <c r="A275" s="4"/>
      <c r="B275" s="11"/>
      <c r="C275" s="25"/>
      <c r="D275" s="4"/>
      <c r="E275" s="26"/>
      <c r="F275" s="4"/>
      <c r="G275" s="4"/>
      <c r="H275" s="25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s="29" customFormat="1" x14ac:dyDescent="0.2">
      <c r="A276" s="4"/>
      <c r="B276" s="11"/>
      <c r="C276" s="25"/>
      <c r="D276" s="4"/>
      <c r="E276" s="26"/>
      <c r="F276" s="4"/>
      <c r="G276" s="4"/>
      <c r="H276" s="25"/>
      <c r="I276" s="4"/>
      <c r="J276" s="4"/>
    </row>
    <row r="277" spans="1:28" x14ac:dyDescent="0.2">
      <c r="E277" s="26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</row>
    <row r="278" spans="1:28" x14ac:dyDescent="0.2">
      <c r="E278" s="26"/>
    </row>
    <row r="279" spans="1:28" x14ac:dyDescent="0.2">
      <c r="A279" s="29"/>
      <c r="B279" s="30"/>
      <c r="C279" s="31"/>
      <c r="D279" s="29"/>
      <c r="E279" s="32"/>
      <c r="F279" s="29"/>
      <c r="G279" s="29"/>
      <c r="H279" s="31"/>
      <c r="I279" s="29"/>
      <c r="J279" s="29"/>
    </row>
    <row r="280" spans="1:28" x14ac:dyDescent="0.2">
      <c r="A280" s="29"/>
      <c r="B280" s="30"/>
      <c r="C280" s="31"/>
      <c r="D280" s="29"/>
      <c r="E280" s="32"/>
      <c r="F280" s="29"/>
      <c r="G280" s="29"/>
      <c r="H280" s="31"/>
      <c r="I280" s="29"/>
      <c r="J280" s="29"/>
    </row>
    <row r="281" spans="1:28" x14ac:dyDescent="0.2">
      <c r="E281" s="26"/>
    </row>
    <row r="282" spans="1:28" x14ac:dyDescent="0.2">
      <c r="E282" s="26"/>
    </row>
    <row r="283" spans="1:28" x14ac:dyDescent="0.2">
      <c r="E283" s="26"/>
    </row>
    <row r="284" spans="1:28" x14ac:dyDescent="0.2">
      <c r="E284" s="26"/>
    </row>
    <row r="285" spans="1:28" x14ac:dyDescent="0.2">
      <c r="E285" s="26"/>
    </row>
    <row r="286" spans="1:28" x14ac:dyDescent="0.2">
      <c r="E286" s="26"/>
    </row>
    <row r="287" spans="1:28" x14ac:dyDescent="0.2">
      <c r="E287" s="26"/>
    </row>
    <row r="288" spans="1:28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240"/>
  <sheetViews>
    <sheetView topLeftCell="A184" workbookViewId="0">
      <selection activeCell="A232" sqref="A232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SUM(C3:C422)</f>
        <v>21250.995974999994</v>
      </c>
      <c r="D1" s="3">
        <f>SUM(D74:D422)</f>
        <v>960.3</v>
      </c>
      <c r="F1" s="166">
        <f>SUM(F3:F1177)</f>
        <v>10448.260000000002</v>
      </c>
      <c r="G1" s="166">
        <f>SUM(G3:G1177)</f>
        <v>10276.149999999998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18551</v>
      </c>
      <c r="B3" s="11">
        <v>42371</v>
      </c>
      <c r="C3" s="12">
        <v>97</v>
      </c>
      <c r="D3" s="12">
        <v>7.39</v>
      </c>
      <c r="E3" s="15" t="s">
        <v>11</v>
      </c>
      <c r="H3" s="10"/>
      <c r="I3" s="10"/>
    </row>
    <row r="4" spans="1:10" x14ac:dyDescent="0.2">
      <c r="A4" s="10">
        <v>18552</v>
      </c>
      <c r="B4" s="11">
        <v>42371</v>
      </c>
      <c r="C4" s="12">
        <v>8</v>
      </c>
      <c r="D4" s="12">
        <v>0.61</v>
      </c>
      <c r="E4" s="15" t="s">
        <v>11</v>
      </c>
      <c r="H4" s="10"/>
      <c r="I4" s="10"/>
    </row>
    <row r="5" spans="1:10" x14ac:dyDescent="0.2">
      <c r="A5" s="10">
        <v>18553</v>
      </c>
      <c r="B5" s="11">
        <v>42372</v>
      </c>
      <c r="C5" s="12">
        <v>10.83</v>
      </c>
      <c r="D5" s="12">
        <v>0.83</v>
      </c>
      <c r="E5" s="17"/>
      <c r="F5" s="20">
        <f>+C3+C4</f>
        <v>105</v>
      </c>
      <c r="G5" s="20">
        <v>104</v>
      </c>
      <c r="H5" s="12"/>
      <c r="I5" s="10"/>
    </row>
    <row r="6" spans="1:10" x14ac:dyDescent="0.2">
      <c r="A6" s="10">
        <v>18554</v>
      </c>
      <c r="B6" s="11">
        <v>42373</v>
      </c>
      <c r="C6" s="12">
        <v>-67.12</v>
      </c>
      <c r="D6" s="12">
        <v>-5.12</v>
      </c>
      <c r="E6" s="13" t="s">
        <v>21</v>
      </c>
      <c r="H6" s="12"/>
      <c r="I6" s="10"/>
    </row>
    <row r="7" spans="1:10" x14ac:dyDescent="0.2">
      <c r="A7" s="10">
        <v>18555</v>
      </c>
      <c r="B7" s="11">
        <v>42373</v>
      </c>
      <c r="C7" s="12">
        <v>51.34</v>
      </c>
      <c r="D7" s="12">
        <v>2.39</v>
      </c>
      <c r="E7" s="17"/>
      <c r="F7" s="18"/>
      <c r="G7" s="19"/>
      <c r="H7" s="12"/>
      <c r="I7" s="10"/>
    </row>
    <row r="8" spans="1:10" x14ac:dyDescent="0.2">
      <c r="A8" s="10">
        <v>18556</v>
      </c>
      <c r="B8" s="11">
        <v>42373</v>
      </c>
      <c r="C8" s="12">
        <v>21.55</v>
      </c>
      <c r="D8" s="12">
        <v>1.64</v>
      </c>
      <c r="E8" s="17"/>
      <c r="H8" s="12"/>
      <c r="I8" s="10"/>
    </row>
    <row r="9" spans="1:10" x14ac:dyDescent="0.2">
      <c r="A9" s="10">
        <v>18557</v>
      </c>
      <c r="B9" s="11">
        <v>42373</v>
      </c>
      <c r="C9" s="12">
        <v>74.69</v>
      </c>
      <c r="D9" s="12">
        <v>5.69</v>
      </c>
      <c r="E9" s="15" t="s">
        <v>11</v>
      </c>
      <c r="H9" s="10"/>
      <c r="I9" s="10"/>
    </row>
    <row r="10" spans="1:10" x14ac:dyDescent="0.2">
      <c r="A10" s="10">
        <v>18558</v>
      </c>
      <c r="B10" s="11">
        <v>42373</v>
      </c>
      <c r="C10" s="12">
        <v>15</v>
      </c>
      <c r="D10" s="12"/>
      <c r="E10" s="15" t="s">
        <v>17</v>
      </c>
      <c r="H10" s="10"/>
      <c r="I10" s="10"/>
    </row>
    <row r="11" spans="1:10" x14ac:dyDescent="0.2">
      <c r="A11" s="10">
        <v>18559</v>
      </c>
      <c r="B11" s="11">
        <v>42373</v>
      </c>
      <c r="C11" s="12">
        <v>105</v>
      </c>
      <c r="D11" s="12"/>
      <c r="E11" s="13" t="s">
        <v>541</v>
      </c>
      <c r="H11" s="12"/>
      <c r="I11" s="10"/>
    </row>
    <row r="12" spans="1:10" x14ac:dyDescent="0.2">
      <c r="A12" s="10">
        <v>18560</v>
      </c>
      <c r="B12" s="11">
        <v>42373</v>
      </c>
      <c r="C12" s="12">
        <v>281.45</v>
      </c>
      <c r="D12" s="12">
        <v>21.45</v>
      </c>
      <c r="E12" s="13" t="s">
        <v>542</v>
      </c>
      <c r="F12" s="18"/>
      <c r="G12" s="19"/>
      <c r="H12" s="12"/>
      <c r="I12" s="10"/>
    </row>
    <row r="13" spans="1:10" x14ac:dyDescent="0.2">
      <c r="A13" s="10">
        <v>18561</v>
      </c>
      <c r="B13" s="11">
        <v>42373</v>
      </c>
      <c r="C13" s="12">
        <v>10.83</v>
      </c>
      <c r="D13" s="12">
        <v>0.83</v>
      </c>
      <c r="E13" s="17"/>
      <c r="H13" s="12"/>
      <c r="I13" s="10"/>
    </row>
    <row r="14" spans="1:10" x14ac:dyDescent="0.2">
      <c r="A14" s="10">
        <v>18562</v>
      </c>
      <c r="B14" s="11">
        <v>42373</v>
      </c>
      <c r="C14" s="12">
        <v>33</v>
      </c>
      <c r="D14" s="12">
        <v>2.52</v>
      </c>
      <c r="E14" s="17"/>
      <c r="H14" s="12"/>
      <c r="I14" s="10"/>
    </row>
    <row r="15" spans="1:10" x14ac:dyDescent="0.2">
      <c r="A15" s="10">
        <v>18563</v>
      </c>
      <c r="B15" s="11">
        <v>42373</v>
      </c>
      <c r="C15" s="12">
        <v>139.63999999999999</v>
      </c>
      <c r="D15" s="12">
        <v>10.64</v>
      </c>
      <c r="E15" s="15" t="s">
        <v>7</v>
      </c>
      <c r="H15" s="10"/>
      <c r="I15" s="10"/>
    </row>
    <row r="16" spans="1:10" x14ac:dyDescent="0.2">
      <c r="A16" s="10">
        <v>18564</v>
      </c>
      <c r="B16" s="11">
        <v>42373</v>
      </c>
      <c r="C16" s="12">
        <v>119</v>
      </c>
      <c r="D16" s="12">
        <v>9.07</v>
      </c>
      <c r="E16" s="17"/>
      <c r="H16" s="12"/>
      <c r="I16" s="10"/>
    </row>
    <row r="17" spans="1:9" x14ac:dyDescent="0.2">
      <c r="A17" s="10">
        <v>18565</v>
      </c>
      <c r="B17" s="11">
        <v>42373</v>
      </c>
      <c r="C17" s="12">
        <v>100</v>
      </c>
      <c r="D17" s="12">
        <v>7.62</v>
      </c>
      <c r="E17" s="15" t="s">
        <v>543</v>
      </c>
      <c r="F17" s="20">
        <f>+C10+C9+66.92+C15+5</f>
        <v>301.25</v>
      </c>
      <c r="G17" s="20">
        <v>296.02</v>
      </c>
      <c r="H17" s="12"/>
      <c r="I17" s="10"/>
    </row>
    <row r="18" spans="1:9" x14ac:dyDescent="0.2">
      <c r="A18" s="10">
        <v>18566</v>
      </c>
      <c r="B18" s="11">
        <v>42374</v>
      </c>
      <c r="C18" s="12">
        <v>16.239999999999998</v>
      </c>
      <c r="D18" s="12">
        <v>1.24</v>
      </c>
      <c r="E18" s="15" t="s">
        <v>7</v>
      </c>
      <c r="H18" s="10"/>
      <c r="I18" s="10"/>
    </row>
    <row r="19" spans="1:9" x14ac:dyDescent="0.2">
      <c r="A19" s="10">
        <v>18567</v>
      </c>
      <c r="B19" s="11">
        <v>42374</v>
      </c>
      <c r="C19" s="12">
        <v>74.69</v>
      </c>
      <c r="D19" s="12">
        <v>5.69</v>
      </c>
      <c r="E19" s="15"/>
      <c r="H19" s="10"/>
      <c r="I19" s="10"/>
    </row>
    <row r="20" spans="1:9" x14ac:dyDescent="0.2">
      <c r="A20" s="10">
        <v>18568</v>
      </c>
      <c r="B20" s="11">
        <v>42374</v>
      </c>
      <c r="C20" s="12">
        <v>30.31</v>
      </c>
      <c r="D20" s="12">
        <v>2.31</v>
      </c>
      <c r="E20" s="15" t="s">
        <v>11</v>
      </c>
      <c r="F20" s="21"/>
      <c r="G20" s="22"/>
      <c r="H20" s="10"/>
      <c r="I20" s="10"/>
    </row>
    <row r="21" spans="1:9" x14ac:dyDescent="0.2">
      <c r="A21" s="10">
        <v>18569</v>
      </c>
      <c r="B21" s="11">
        <v>42374</v>
      </c>
      <c r="C21" s="12">
        <v>24.9</v>
      </c>
      <c r="D21" s="12">
        <v>1.9</v>
      </c>
      <c r="E21" s="17"/>
      <c r="F21" s="18"/>
      <c r="G21" s="19"/>
      <c r="H21" s="12"/>
      <c r="I21" s="10"/>
    </row>
    <row r="22" spans="1:9" x14ac:dyDescent="0.2">
      <c r="A22" s="10">
        <v>18570</v>
      </c>
      <c r="B22" s="11">
        <v>42374</v>
      </c>
      <c r="C22" s="12">
        <v>48.71</v>
      </c>
      <c r="D22" s="12">
        <v>3.71</v>
      </c>
      <c r="E22" s="17"/>
      <c r="H22" s="12"/>
      <c r="I22" s="10"/>
    </row>
    <row r="23" spans="1:9" x14ac:dyDescent="0.2">
      <c r="A23" s="10">
        <v>18571</v>
      </c>
      <c r="B23" s="11">
        <v>42374</v>
      </c>
      <c r="C23" s="12">
        <v>5.36</v>
      </c>
      <c r="D23" s="12">
        <v>0.41</v>
      </c>
      <c r="E23" s="17"/>
      <c r="F23" s="20">
        <f>+C18+114.8+266.97</f>
        <v>398.01</v>
      </c>
      <c r="G23" s="20">
        <v>392.1</v>
      </c>
      <c r="H23" s="12"/>
      <c r="I23" s="10"/>
    </row>
    <row r="24" spans="1:9" x14ac:dyDescent="0.2">
      <c r="A24" s="10">
        <v>18572</v>
      </c>
      <c r="B24" s="11">
        <v>42375</v>
      </c>
      <c r="C24" s="12">
        <v>10.83</v>
      </c>
      <c r="D24" s="12">
        <v>0.83</v>
      </c>
      <c r="E24" s="17"/>
      <c r="F24" s="18"/>
      <c r="G24" s="19"/>
      <c r="H24" s="12"/>
      <c r="I24" s="10"/>
    </row>
    <row r="25" spans="1:9" x14ac:dyDescent="0.2">
      <c r="A25" s="10">
        <v>18573</v>
      </c>
      <c r="B25" s="11">
        <v>42375</v>
      </c>
      <c r="C25" s="12">
        <v>3.23</v>
      </c>
      <c r="D25" s="12">
        <v>0.25</v>
      </c>
      <c r="E25" s="17"/>
      <c r="F25" s="18"/>
      <c r="G25" s="19"/>
      <c r="H25" s="12"/>
      <c r="I25" s="10"/>
    </row>
    <row r="26" spans="1:9" x14ac:dyDescent="0.2">
      <c r="A26" s="10">
        <v>18574</v>
      </c>
      <c r="B26" s="11">
        <v>42375</v>
      </c>
      <c r="C26" s="12">
        <v>10.83</v>
      </c>
      <c r="D26" s="12">
        <v>0.83</v>
      </c>
      <c r="E26" s="17"/>
      <c r="H26" s="12"/>
      <c r="I26" s="10"/>
    </row>
    <row r="27" spans="1:9" x14ac:dyDescent="0.2">
      <c r="A27" s="10">
        <v>18575</v>
      </c>
      <c r="B27" s="11">
        <v>42375</v>
      </c>
      <c r="C27" s="12">
        <v>35.72</v>
      </c>
      <c r="D27" s="12">
        <v>2.72</v>
      </c>
      <c r="E27" s="15" t="s">
        <v>11</v>
      </c>
      <c r="H27" s="10"/>
      <c r="I27" s="10"/>
    </row>
    <row r="28" spans="1:9" x14ac:dyDescent="0.2">
      <c r="A28" s="10">
        <v>18576</v>
      </c>
      <c r="B28" s="11">
        <v>42375</v>
      </c>
      <c r="C28" s="12">
        <v>300</v>
      </c>
      <c r="D28" s="12">
        <v>22.86</v>
      </c>
      <c r="E28" s="15"/>
      <c r="F28" s="20">
        <v>48.71</v>
      </c>
      <c r="G28" s="20">
        <v>48.22</v>
      </c>
      <c r="H28" s="10"/>
      <c r="I28" s="10"/>
    </row>
    <row r="29" spans="1:9" x14ac:dyDescent="0.2">
      <c r="A29" s="10">
        <v>18577</v>
      </c>
      <c r="B29" s="11">
        <v>42376</v>
      </c>
      <c r="C29" s="12">
        <v>114.75</v>
      </c>
      <c r="D29" s="12">
        <v>8.75</v>
      </c>
      <c r="E29" s="17"/>
      <c r="H29" s="12"/>
      <c r="I29" s="10"/>
    </row>
    <row r="30" spans="1:9" x14ac:dyDescent="0.2">
      <c r="A30" s="10">
        <v>18578</v>
      </c>
      <c r="B30" s="11">
        <v>42376</v>
      </c>
      <c r="C30" s="12">
        <v>156.96</v>
      </c>
      <c r="D30" s="12">
        <v>11.96</v>
      </c>
      <c r="E30" s="15" t="s">
        <v>11</v>
      </c>
      <c r="H30" s="10"/>
      <c r="I30" s="10"/>
    </row>
    <row r="31" spans="1:9" x14ac:dyDescent="0.2">
      <c r="A31" s="10">
        <v>18579</v>
      </c>
      <c r="B31" s="11">
        <v>42376</v>
      </c>
      <c r="C31" s="12"/>
      <c r="D31" s="12"/>
      <c r="E31" s="13" t="s">
        <v>544</v>
      </c>
      <c r="H31" s="12"/>
      <c r="I31" s="10"/>
    </row>
    <row r="32" spans="1:9" x14ac:dyDescent="0.2">
      <c r="A32" s="10">
        <v>18580</v>
      </c>
      <c r="B32" s="11">
        <v>42376</v>
      </c>
      <c r="C32" s="12">
        <v>55.21</v>
      </c>
      <c r="D32" s="12">
        <v>4.21</v>
      </c>
      <c r="E32" s="13"/>
      <c r="H32" s="12"/>
      <c r="I32" s="10"/>
    </row>
    <row r="33" spans="1:9" x14ac:dyDescent="0.2">
      <c r="A33" s="10">
        <v>18581</v>
      </c>
      <c r="B33" s="11">
        <v>42376</v>
      </c>
      <c r="C33" s="12">
        <v>20.93</v>
      </c>
      <c r="D33" s="12"/>
      <c r="E33" s="13" t="s">
        <v>8</v>
      </c>
      <c r="F33" s="18"/>
      <c r="G33" s="19"/>
      <c r="H33" s="12"/>
      <c r="I33" s="10"/>
    </row>
    <row r="34" spans="1:9" x14ac:dyDescent="0.2">
      <c r="A34" s="10">
        <v>18582</v>
      </c>
      <c r="B34" s="11">
        <v>42376</v>
      </c>
      <c r="C34" s="12">
        <v>28.81</v>
      </c>
      <c r="D34" s="12"/>
      <c r="E34" s="13" t="s">
        <v>8</v>
      </c>
      <c r="F34" s="18"/>
      <c r="G34" s="19"/>
      <c r="H34" s="12"/>
      <c r="I34" s="10"/>
    </row>
    <row r="35" spans="1:9" x14ac:dyDescent="0.2">
      <c r="A35" s="10">
        <v>18583</v>
      </c>
      <c r="B35" s="11">
        <v>42376</v>
      </c>
      <c r="C35" s="12">
        <v>30</v>
      </c>
      <c r="D35" s="12">
        <v>2.29</v>
      </c>
      <c r="E35" s="17"/>
      <c r="F35" s="20">
        <f>+C30+131.45+C20</f>
        <v>318.71999999999997</v>
      </c>
      <c r="G35" s="20">
        <v>316.33</v>
      </c>
      <c r="H35" s="12"/>
      <c r="I35" s="10"/>
    </row>
    <row r="36" spans="1:9" x14ac:dyDescent="0.2">
      <c r="A36" s="10">
        <v>18584</v>
      </c>
      <c r="B36" s="11">
        <v>42377</v>
      </c>
      <c r="C36" s="12">
        <v>43.3</v>
      </c>
      <c r="D36" s="12">
        <v>3.3</v>
      </c>
      <c r="E36" s="15" t="s">
        <v>11</v>
      </c>
      <c r="H36" s="10"/>
      <c r="I36" s="10"/>
    </row>
    <row r="37" spans="1:9" x14ac:dyDescent="0.2">
      <c r="A37" s="10">
        <v>18585</v>
      </c>
      <c r="B37" s="11">
        <v>42377</v>
      </c>
      <c r="C37" s="12">
        <v>232</v>
      </c>
      <c r="D37" s="12">
        <v>17.68</v>
      </c>
      <c r="E37" s="23"/>
      <c r="F37" s="21"/>
      <c r="G37" s="22"/>
      <c r="H37" s="10"/>
      <c r="I37" s="10"/>
    </row>
    <row r="38" spans="1:9" x14ac:dyDescent="0.2">
      <c r="A38" s="10">
        <v>18586</v>
      </c>
      <c r="B38" s="11">
        <v>42377</v>
      </c>
      <c r="C38" s="12">
        <v>99.95</v>
      </c>
      <c r="D38" s="12">
        <v>7.62</v>
      </c>
      <c r="E38" s="15" t="s">
        <v>11</v>
      </c>
      <c r="H38" s="10"/>
      <c r="I38" s="10"/>
    </row>
    <row r="39" spans="1:9" x14ac:dyDescent="0.2">
      <c r="A39" s="10">
        <v>18587</v>
      </c>
      <c r="B39" s="11">
        <v>42377</v>
      </c>
      <c r="C39" s="12">
        <v>270</v>
      </c>
      <c r="D39" s="12">
        <v>20.58</v>
      </c>
      <c r="E39" s="13" t="s">
        <v>545</v>
      </c>
      <c r="I39" s="10"/>
    </row>
    <row r="40" spans="1:9" x14ac:dyDescent="0.2">
      <c r="A40" s="10">
        <v>18588</v>
      </c>
      <c r="B40" s="11">
        <v>42377</v>
      </c>
      <c r="C40" s="12">
        <v>4.01</v>
      </c>
      <c r="D40" s="12">
        <v>0.31</v>
      </c>
      <c r="E40" s="17"/>
      <c r="I40" s="10"/>
    </row>
    <row r="41" spans="1:9" x14ac:dyDescent="0.2">
      <c r="A41" s="10">
        <v>18589</v>
      </c>
      <c r="B41" s="11">
        <v>42377</v>
      </c>
      <c r="C41" s="12">
        <v>5.68</v>
      </c>
      <c r="D41" s="12">
        <v>0.43</v>
      </c>
      <c r="E41" s="17"/>
      <c r="F41" s="18"/>
      <c r="G41" s="19"/>
      <c r="H41" s="12"/>
      <c r="I41" s="10"/>
    </row>
    <row r="42" spans="1:9" x14ac:dyDescent="0.2">
      <c r="A42" s="10">
        <v>18590</v>
      </c>
      <c r="B42" s="11">
        <v>42377</v>
      </c>
      <c r="C42" s="12">
        <v>107.79</v>
      </c>
      <c r="D42" s="12"/>
      <c r="E42" s="15" t="s">
        <v>510</v>
      </c>
      <c r="I42" s="10"/>
    </row>
    <row r="43" spans="1:9" x14ac:dyDescent="0.2">
      <c r="A43" s="10">
        <v>18591</v>
      </c>
      <c r="B43" s="11">
        <v>42377</v>
      </c>
      <c r="C43" s="12">
        <v>25.009999999999998</v>
      </c>
      <c r="D43" s="12">
        <v>1.91</v>
      </c>
      <c r="E43" s="17"/>
      <c r="F43" s="20">
        <f>+C36+C38+70</f>
        <v>213.25</v>
      </c>
      <c r="G43" s="20">
        <f>140.79+67.4</f>
        <v>208.19</v>
      </c>
      <c r="H43" s="161"/>
      <c r="I43" s="10"/>
    </row>
    <row r="44" spans="1:9" x14ac:dyDescent="0.2">
      <c r="A44" s="10">
        <v>18592</v>
      </c>
      <c r="B44" s="11">
        <v>42378</v>
      </c>
      <c r="C44" s="12">
        <v>379.42</v>
      </c>
      <c r="D44" s="12">
        <v>28.92</v>
      </c>
      <c r="E44" s="15" t="s">
        <v>533</v>
      </c>
      <c r="F44" s="21"/>
      <c r="G44" s="22"/>
      <c r="H44" s="10"/>
      <c r="I44" s="10"/>
    </row>
    <row r="45" spans="1:9" x14ac:dyDescent="0.2">
      <c r="A45" s="10">
        <v>18593</v>
      </c>
      <c r="B45" s="11">
        <v>42378</v>
      </c>
      <c r="C45" s="12">
        <v>16.18</v>
      </c>
      <c r="D45" s="12">
        <v>1.23</v>
      </c>
      <c r="E45" s="15" t="s">
        <v>533</v>
      </c>
      <c r="I45" s="10"/>
    </row>
    <row r="46" spans="1:9" x14ac:dyDescent="0.2">
      <c r="A46" s="10">
        <v>18594</v>
      </c>
      <c r="B46" s="11">
        <v>42378</v>
      </c>
      <c r="C46" s="12">
        <v>74.69</v>
      </c>
      <c r="D46" s="12">
        <v>5.69</v>
      </c>
      <c r="E46" s="15" t="s">
        <v>11</v>
      </c>
      <c r="I46" s="10"/>
    </row>
    <row r="47" spans="1:9" x14ac:dyDescent="0.2">
      <c r="A47" s="10">
        <v>18595</v>
      </c>
      <c r="B47" s="11">
        <v>42378</v>
      </c>
      <c r="C47" s="12">
        <v>74.69</v>
      </c>
      <c r="D47" s="12">
        <v>5.69</v>
      </c>
      <c r="E47" s="17"/>
      <c r="I47" s="10"/>
    </row>
    <row r="48" spans="1:9" x14ac:dyDescent="0.2">
      <c r="A48" s="10">
        <v>18596</v>
      </c>
      <c r="B48" s="11">
        <v>42378</v>
      </c>
      <c r="C48" s="12">
        <v>155.44999999999999</v>
      </c>
      <c r="D48" s="12">
        <v>11.85</v>
      </c>
      <c r="E48" s="15" t="s">
        <v>533</v>
      </c>
      <c r="I48" s="10"/>
    </row>
    <row r="49" spans="1:12" x14ac:dyDescent="0.2">
      <c r="A49" s="10">
        <v>18597</v>
      </c>
      <c r="B49" s="11">
        <v>42378</v>
      </c>
      <c r="C49" s="12">
        <v>347</v>
      </c>
      <c r="D49" s="12">
        <v>26.45</v>
      </c>
      <c r="E49" s="13" t="s">
        <v>546</v>
      </c>
      <c r="I49" s="10"/>
    </row>
    <row r="50" spans="1:12" x14ac:dyDescent="0.2">
      <c r="A50" s="10">
        <v>18598</v>
      </c>
      <c r="B50" s="11">
        <v>42378</v>
      </c>
      <c r="C50" s="12">
        <v>32.479999999999997</v>
      </c>
      <c r="D50" s="12">
        <v>2.48</v>
      </c>
      <c r="E50" s="17"/>
      <c r="I50" s="10"/>
    </row>
    <row r="51" spans="1:12" x14ac:dyDescent="0.2">
      <c r="A51" s="10">
        <v>18599</v>
      </c>
      <c r="B51" s="11">
        <v>42378</v>
      </c>
      <c r="C51" s="12">
        <v>79</v>
      </c>
      <c r="D51" s="12"/>
      <c r="E51" s="23" t="s">
        <v>16</v>
      </c>
      <c r="F51" s="20">
        <f>+C46+551.05</f>
        <v>625.74</v>
      </c>
      <c r="G51" s="20">
        <f>74.12+535.91</f>
        <v>610.03</v>
      </c>
      <c r="H51" s="187"/>
      <c r="I51" s="10"/>
    </row>
    <row r="52" spans="1:12" x14ac:dyDescent="0.2">
      <c r="A52" s="10">
        <v>18600</v>
      </c>
      <c r="B52" s="11">
        <v>42380</v>
      </c>
      <c r="C52" s="12">
        <v>25</v>
      </c>
      <c r="D52" s="12"/>
      <c r="E52" s="15"/>
      <c r="H52" s="10"/>
      <c r="I52" s="10"/>
    </row>
    <row r="53" spans="1:12" x14ac:dyDescent="0.2">
      <c r="A53" s="10">
        <v>18601</v>
      </c>
      <c r="B53" s="11">
        <v>42380</v>
      </c>
      <c r="C53" s="12">
        <v>261.42</v>
      </c>
      <c r="D53" s="12">
        <v>19.920000000000002</v>
      </c>
      <c r="E53" s="15" t="s">
        <v>547</v>
      </c>
      <c r="H53" s="10"/>
      <c r="I53" s="10"/>
    </row>
    <row r="54" spans="1:12" x14ac:dyDescent="0.2">
      <c r="A54" s="10">
        <v>18602</v>
      </c>
      <c r="B54" s="11">
        <v>42380</v>
      </c>
      <c r="C54" s="12">
        <v>42.22</v>
      </c>
      <c r="D54" s="12">
        <v>3.22</v>
      </c>
      <c r="E54" s="23"/>
      <c r="H54" s="10"/>
      <c r="I54" s="10"/>
    </row>
    <row r="55" spans="1:12" x14ac:dyDescent="0.2">
      <c r="A55" s="10">
        <v>18603</v>
      </c>
      <c r="B55" s="11">
        <v>42380</v>
      </c>
      <c r="C55" s="12">
        <v>289</v>
      </c>
      <c r="D55" s="12"/>
      <c r="E55" s="15" t="s">
        <v>17</v>
      </c>
      <c r="F55" s="21"/>
      <c r="G55" s="22"/>
      <c r="H55" s="10"/>
      <c r="I55" s="10"/>
    </row>
    <row r="56" spans="1:12" x14ac:dyDescent="0.2">
      <c r="A56" s="10">
        <v>18604</v>
      </c>
      <c r="B56" s="11">
        <v>42380</v>
      </c>
      <c r="C56" s="12">
        <v>269.54000000000002</v>
      </c>
      <c r="D56" s="12">
        <v>20.54</v>
      </c>
      <c r="E56" s="15" t="s">
        <v>7</v>
      </c>
      <c r="H56" s="10"/>
      <c r="I56" s="10"/>
    </row>
    <row r="57" spans="1:12" x14ac:dyDescent="0.2">
      <c r="A57" s="10">
        <v>18605</v>
      </c>
      <c r="B57" s="11">
        <v>42380</v>
      </c>
      <c r="C57" s="12">
        <v>59</v>
      </c>
      <c r="D57" s="12"/>
      <c r="E57" s="15" t="s">
        <v>548</v>
      </c>
      <c r="F57" s="20">
        <f>120+C56+C57</f>
        <v>448.54</v>
      </c>
      <c r="G57" s="20">
        <v>439.61</v>
      </c>
      <c r="H57" s="10"/>
      <c r="I57" s="10"/>
    </row>
    <row r="58" spans="1:12" x14ac:dyDescent="0.2">
      <c r="A58" s="10">
        <v>18606</v>
      </c>
      <c r="B58" s="11">
        <v>42381</v>
      </c>
      <c r="C58" s="12">
        <v>125.57</v>
      </c>
      <c r="D58" s="12">
        <v>9.57</v>
      </c>
      <c r="E58" s="15" t="s">
        <v>11</v>
      </c>
      <c r="H58" s="10"/>
      <c r="I58" s="10"/>
    </row>
    <row r="59" spans="1:12" x14ac:dyDescent="0.2">
      <c r="A59" s="10">
        <v>18607</v>
      </c>
      <c r="B59" s="11">
        <v>42381</v>
      </c>
      <c r="C59" s="12">
        <v>14</v>
      </c>
      <c r="D59" s="12">
        <v>1.07</v>
      </c>
      <c r="E59" s="17"/>
      <c r="H59" s="12"/>
      <c r="I59" s="10"/>
    </row>
    <row r="60" spans="1:12" x14ac:dyDescent="0.2">
      <c r="A60" s="10">
        <v>18608</v>
      </c>
      <c r="B60" s="11">
        <v>42381</v>
      </c>
      <c r="C60" s="12">
        <v>256.55</v>
      </c>
      <c r="D60" s="12">
        <v>19.55</v>
      </c>
      <c r="E60" s="15" t="s">
        <v>549</v>
      </c>
      <c r="F60" s="20">
        <f>+C58+C55+230</f>
        <v>644.56999999999994</v>
      </c>
      <c r="G60" s="20">
        <v>628.82000000000005</v>
      </c>
      <c r="H60" s="10"/>
      <c r="I60" s="10"/>
    </row>
    <row r="61" spans="1:12" x14ac:dyDescent="0.2">
      <c r="A61" s="10">
        <v>18609</v>
      </c>
      <c r="B61" s="11">
        <v>42382</v>
      </c>
      <c r="C61" s="12">
        <v>353</v>
      </c>
      <c r="D61" s="12"/>
      <c r="E61" s="15" t="s">
        <v>82</v>
      </c>
      <c r="F61" s="21"/>
      <c r="G61" s="22"/>
      <c r="H61" s="10"/>
      <c r="I61" s="10"/>
    </row>
    <row r="62" spans="1:12" x14ac:dyDescent="0.2">
      <c r="A62" s="10">
        <v>18610</v>
      </c>
      <c r="B62" s="11">
        <v>42382</v>
      </c>
      <c r="C62" s="12">
        <v>250.25</v>
      </c>
      <c r="D62" s="12"/>
      <c r="E62" s="15" t="s">
        <v>10</v>
      </c>
      <c r="F62" s="21"/>
      <c r="G62" s="22"/>
      <c r="H62" s="10"/>
      <c r="I62" s="10"/>
    </row>
    <row r="63" spans="1:12" x14ac:dyDescent="0.2">
      <c r="A63" s="10">
        <v>18611</v>
      </c>
      <c r="B63" s="11">
        <v>42382</v>
      </c>
      <c r="C63" s="12">
        <v>198.99597500000002</v>
      </c>
      <c r="D63" s="12">
        <v>15.165975000000001</v>
      </c>
      <c r="E63" s="17"/>
      <c r="H63" s="12"/>
      <c r="I63" s="10"/>
      <c r="L63" s="77"/>
    </row>
    <row r="64" spans="1:12" x14ac:dyDescent="0.2">
      <c r="A64" s="10">
        <v>18612</v>
      </c>
      <c r="B64" s="11">
        <v>42382</v>
      </c>
      <c r="C64" s="12">
        <v>22</v>
      </c>
      <c r="D64" s="12"/>
      <c r="E64" s="15" t="s">
        <v>10</v>
      </c>
      <c r="H64" s="10"/>
      <c r="I64" s="10"/>
      <c r="L64" s="77"/>
    </row>
    <row r="65" spans="1:12" x14ac:dyDescent="0.2">
      <c r="A65" s="10">
        <v>18613</v>
      </c>
      <c r="B65" s="11">
        <v>42382</v>
      </c>
      <c r="C65" s="12">
        <v>119</v>
      </c>
      <c r="D65" s="12"/>
      <c r="E65" s="15" t="s">
        <v>10</v>
      </c>
      <c r="F65" s="21"/>
      <c r="G65" s="22"/>
      <c r="H65" s="10"/>
      <c r="I65" s="10"/>
      <c r="L65" s="77"/>
    </row>
    <row r="66" spans="1:12" x14ac:dyDescent="0.2">
      <c r="A66" s="10">
        <v>18614</v>
      </c>
      <c r="B66" s="11">
        <v>42382</v>
      </c>
      <c r="C66" s="12">
        <v>153.72</v>
      </c>
      <c r="D66" s="12">
        <v>11.72</v>
      </c>
      <c r="E66" s="15" t="s">
        <v>21</v>
      </c>
      <c r="F66" s="20">
        <v>0</v>
      </c>
      <c r="G66" s="20">
        <f>+F66*0.97831</f>
        <v>0</v>
      </c>
      <c r="H66" s="10"/>
      <c r="I66" s="10"/>
      <c r="L66" s="77"/>
    </row>
    <row r="67" spans="1:12" x14ac:dyDescent="0.2">
      <c r="A67" s="10">
        <v>18615</v>
      </c>
      <c r="B67" s="11">
        <v>42383</v>
      </c>
      <c r="C67" s="12">
        <v>295</v>
      </c>
      <c r="D67" s="12">
        <v>22.48</v>
      </c>
      <c r="E67" s="17"/>
      <c r="H67" s="12"/>
      <c r="I67" s="183"/>
      <c r="J67" s="77"/>
      <c r="K67" s="77"/>
      <c r="L67" s="77"/>
    </row>
    <row r="68" spans="1:12" x14ac:dyDescent="0.2">
      <c r="A68" s="10">
        <v>18616</v>
      </c>
      <c r="B68" s="11">
        <v>42383</v>
      </c>
      <c r="C68" s="12">
        <v>24.9</v>
      </c>
      <c r="D68" s="12">
        <v>1.9</v>
      </c>
      <c r="E68" s="17"/>
      <c r="F68" s="18"/>
      <c r="G68" s="19"/>
      <c r="H68" s="12"/>
      <c r="I68" s="183"/>
      <c r="J68" s="77"/>
      <c r="K68" s="77"/>
      <c r="L68" s="77"/>
    </row>
    <row r="69" spans="1:12" x14ac:dyDescent="0.2">
      <c r="A69" s="10">
        <v>18617</v>
      </c>
      <c r="B69" s="11">
        <v>42383</v>
      </c>
      <c r="C69" s="12">
        <v>5.41</v>
      </c>
      <c r="D69" s="12">
        <v>0.41</v>
      </c>
      <c r="E69" s="17"/>
      <c r="H69" s="12"/>
      <c r="I69" s="183"/>
      <c r="J69" s="77"/>
      <c r="K69" s="77"/>
      <c r="L69" s="77"/>
    </row>
    <row r="70" spans="1:12" x14ac:dyDescent="0.2">
      <c r="A70" s="10">
        <v>18618</v>
      </c>
      <c r="B70" s="11">
        <v>42383</v>
      </c>
      <c r="C70" s="12">
        <v>9.69</v>
      </c>
      <c r="D70" s="12">
        <v>0.74</v>
      </c>
      <c r="E70" s="15" t="s">
        <v>11</v>
      </c>
      <c r="H70" s="10"/>
      <c r="I70" s="183"/>
      <c r="J70" s="77"/>
      <c r="K70" s="77"/>
      <c r="L70" s="77"/>
    </row>
    <row r="71" spans="1:12" x14ac:dyDescent="0.2">
      <c r="A71" s="10">
        <v>18619</v>
      </c>
      <c r="B71" s="11">
        <v>42383</v>
      </c>
      <c r="C71" s="12">
        <v>12.99</v>
      </c>
      <c r="D71" s="12">
        <v>0.99</v>
      </c>
      <c r="E71" s="17"/>
      <c r="H71" s="12"/>
      <c r="I71" s="183"/>
      <c r="J71" s="77"/>
      <c r="K71" s="77"/>
      <c r="L71" s="77"/>
    </row>
    <row r="72" spans="1:12" x14ac:dyDescent="0.2">
      <c r="A72" s="10">
        <v>18620</v>
      </c>
      <c r="B72" s="5">
        <v>42384</v>
      </c>
      <c r="C72" s="25">
        <v>318</v>
      </c>
      <c r="D72" s="12">
        <v>24.24</v>
      </c>
      <c r="E72" s="26" t="s">
        <v>550</v>
      </c>
      <c r="H72" s="188"/>
      <c r="I72" s="183"/>
      <c r="J72" s="77"/>
      <c r="K72" s="77"/>
      <c r="L72" s="77"/>
    </row>
    <row r="73" spans="1:12" s="8" customFormat="1" x14ac:dyDescent="0.2">
      <c r="A73" s="10">
        <v>18621</v>
      </c>
      <c r="B73" s="5">
        <v>42384</v>
      </c>
      <c r="C73" s="2">
        <v>65.489999999999995</v>
      </c>
      <c r="D73" s="12">
        <v>4.99</v>
      </c>
      <c r="E73" s="15"/>
      <c r="F73" s="20">
        <f>+C70+C27</f>
        <v>45.41</v>
      </c>
      <c r="G73" s="20">
        <v>44.64</v>
      </c>
      <c r="H73" s="189"/>
      <c r="I73" s="190"/>
      <c r="J73" s="190"/>
      <c r="K73" s="190"/>
      <c r="L73" s="190"/>
    </row>
    <row r="74" spans="1:12" x14ac:dyDescent="0.2">
      <c r="A74" s="10">
        <v>18622</v>
      </c>
      <c r="B74" s="5">
        <v>42384</v>
      </c>
      <c r="C74" s="25">
        <v>6.25</v>
      </c>
      <c r="D74" s="4">
        <v>0.48</v>
      </c>
      <c r="E74" s="26"/>
      <c r="H74" s="188"/>
      <c r="L74" s="77"/>
    </row>
    <row r="75" spans="1:12" x14ac:dyDescent="0.2">
      <c r="A75" s="10">
        <v>18623</v>
      </c>
      <c r="B75" s="5">
        <v>42384</v>
      </c>
      <c r="C75" s="25">
        <v>228.03</v>
      </c>
      <c r="D75" s="4">
        <v>17.38</v>
      </c>
      <c r="E75" s="26"/>
      <c r="H75" s="191"/>
      <c r="L75" s="77"/>
    </row>
    <row r="76" spans="1:12" x14ac:dyDescent="0.2">
      <c r="A76" s="10">
        <v>18624</v>
      </c>
      <c r="B76" s="5">
        <v>42384</v>
      </c>
      <c r="C76" s="25">
        <v>10.83</v>
      </c>
      <c r="D76" s="4">
        <v>0.83</v>
      </c>
      <c r="E76" s="26"/>
      <c r="H76" s="191"/>
      <c r="L76" s="77"/>
    </row>
    <row r="77" spans="1:12" x14ac:dyDescent="0.2">
      <c r="A77" s="10">
        <v>18625</v>
      </c>
      <c r="B77" s="5">
        <v>42384</v>
      </c>
      <c r="C77" s="25">
        <v>74.69</v>
      </c>
      <c r="D77" s="4">
        <v>5.69</v>
      </c>
      <c r="E77" s="26" t="s">
        <v>11</v>
      </c>
      <c r="H77" s="188"/>
      <c r="L77" s="77"/>
    </row>
    <row r="78" spans="1:12" x14ac:dyDescent="0.2">
      <c r="A78" s="10">
        <v>18626</v>
      </c>
      <c r="B78" s="5">
        <v>42384</v>
      </c>
      <c r="C78" s="25">
        <v>12</v>
      </c>
      <c r="E78" s="26" t="s">
        <v>253</v>
      </c>
      <c r="H78" s="188"/>
      <c r="L78" s="77"/>
    </row>
    <row r="79" spans="1:12" x14ac:dyDescent="0.2">
      <c r="A79" s="10">
        <v>18627</v>
      </c>
      <c r="B79" s="5">
        <v>42384</v>
      </c>
      <c r="C79" s="25">
        <v>32.479999999999997</v>
      </c>
      <c r="D79" s="4">
        <v>2.48</v>
      </c>
      <c r="E79" s="26"/>
      <c r="H79" s="191"/>
      <c r="L79" s="77"/>
    </row>
    <row r="80" spans="1:12" x14ac:dyDescent="0.2">
      <c r="A80" s="10">
        <v>18628</v>
      </c>
      <c r="B80" s="5">
        <v>42384</v>
      </c>
      <c r="C80" s="25">
        <v>8</v>
      </c>
      <c r="E80" s="26" t="s">
        <v>10</v>
      </c>
      <c r="H80" s="191"/>
      <c r="L80" s="77"/>
    </row>
    <row r="81" spans="1:12" x14ac:dyDescent="0.2">
      <c r="A81" s="10">
        <v>18629</v>
      </c>
      <c r="B81" s="5">
        <v>42384</v>
      </c>
      <c r="C81" s="25">
        <v>10.83</v>
      </c>
      <c r="D81" s="4">
        <v>0.83</v>
      </c>
      <c r="E81" s="26"/>
      <c r="F81" s="20">
        <f>+C77</f>
        <v>74.69</v>
      </c>
      <c r="G81" s="20">
        <v>74.12</v>
      </c>
      <c r="H81" s="188"/>
      <c r="L81" s="77"/>
    </row>
    <row r="82" spans="1:12" x14ac:dyDescent="0.2">
      <c r="A82" s="10">
        <v>18630</v>
      </c>
      <c r="B82" s="11">
        <v>42385</v>
      </c>
      <c r="C82" s="12">
        <v>19.489999999999998</v>
      </c>
      <c r="D82" s="12">
        <v>1.49</v>
      </c>
      <c r="E82" s="17"/>
      <c r="H82" s="191"/>
      <c r="L82" s="77"/>
    </row>
    <row r="83" spans="1:12" x14ac:dyDescent="0.2">
      <c r="A83" s="10">
        <v>18631</v>
      </c>
      <c r="B83" s="11">
        <v>42385</v>
      </c>
      <c r="C83" s="12">
        <v>284.7</v>
      </c>
      <c r="D83" s="12">
        <v>21.7</v>
      </c>
      <c r="E83" s="15" t="s">
        <v>11</v>
      </c>
      <c r="F83" s="21"/>
      <c r="G83" s="22"/>
      <c r="H83" s="188"/>
      <c r="I83" s="10"/>
      <c r="L83" s="77"/>
    </row>
    <row r="84" spans="1:12" x14ac:dyDescent="0.2">
      <c r="A84" s="10">
        <v>18632</v>
      </c>
      <c r="B84" s="11">
        <v>42385</v>
      </c>
      <c r="C84" s="12">
        <v>98.51</v>
      </c>
      <c r="D84" s="12">
        <v>7.51</v>
      </c>
      <c r="E84" s="15" t="s">
        <v>533</v>
      </c>
      <c r="F84" s="21"/>
      <c r="G84" s="22"/>
      <c r="H84" s="188"/>
      <c r="I84" s="10"/>
      <c r="L84" s="77"/>
    </row>
    <row r="85" spans="1:12" x14ac:dyDescent="0.2">
      <c r="A85" s="10">
        <v>18633</v>
      </c>
      <c r="B85" s="11">
        <v>42385</v>
      </c>
      <c r="C85" s="12">
        <v>19.489999999999998</v>
      </c>
      <c r="D85" s="12">
        <v>1.49</v>
      </c>
      <c r="E85" s="17"/>
      <c r="H85" s="191"/>
      <c r="I85" s="10"/>
      <c r="L85" s="77"/>
    </row>
    <row r="86" spans="1:12" x14ac:dyDescent="0.2">
      <c r="A86" s="10">
        <v>18634</v>
      </c>
      <c r="B86" s="11">
        <v>42385</v>
      </c>
      <c r="C86" s="12">
        <v>9.74</v>
      </c>
      <c r="D86" s="12">
        <v>0.74</v>
      </c>
      <c r="E86" s="17"/>
      <c r="H86" s="191"/>
      <c r="I86" s="10"/>
      <c r="L86" s="77"/>
    </row>
    <row r="87" spans="1:12" x14ac:dyDescent="0.2">
      <c r="A87" s="10">
        <v>18635</v>
      </c>
      <c r="B87" s="11">
        <v>42385</v>
      </c>
      <c r="C87" s="12">
        <v>10.83</v>
      </c>
      <c r="D87" s="12">
        <v>0.83</v>
      </c>
      <c r="E87" s="17"/>
      <c r="F87" s="18"/>
      <c r="G87" s="19"/>
      <c r="H87" s="191"/>
      <c r="I87" s="10"/>
      <c r="L87" s="77"/>
    </row>
    <row r="88" spans="1:12" x14ac:dyDescent="0.2">
      <c r="A88" s="10">
        <v>18636</v>
      </c>
      <c r="B88" s="11">
        <v>42385</v>
      </c>
      <c r="C88" s="12">
        <v>20</v>
      </c>
      <c r="D88" s="12">
        <v>1.52</v>
      </c>
      <c r="E88" s="17"/>
      <c r="F88" s="18"/>
      <c r="G88" s="19"/>
      <c r="H88" s="12"/>
      <c r="I88" s="10"/>
      <c r="L88" s="77"/>
    </row>
    <row r="89" spans="1:12" x14ac:dyDescent="0.2">
      <c r="A89" s="10">
        <v>18637</v>
      </c>
      <c r="B89" s="11">
        <v>42385</v>
      </c>
      <c r="C89" s="12">
        <v>117.99</v>
      </c>
      <c r="D89" s="12">
        <v>8.99</v>
      </c>
      <c r="E89" s="15" t="s">
        <v>7</v>
      </c>
      <c r="F89" s="20">
        <f>+C83+C89+98.51</f>
        <v>501.2</v>
      </c>
      <c r="G89" s="20">
        <f>395.14+95.8</f>
        <v>490.94</v>
      </c>
      <c r="H89" s="192"/>
      <c r="I89" s="10"/>
      <c r="L89" s="77"/>
    </row>
    <row r="90" spans="1:12" x14ac:dyDescent="0.2">
      <c r="A90" s="10">
        <v>18638</v>
      </c>
      <c r="B90" s="11">
        <v>42387</v>
      </c>
      <c r="C90" s="12">
        <v>85.52</v>
      </c>
      <c r="D90" s="12">
        <v>6.52</v>
      </c>
      <c r="E90" s="15" t="s">
        <v>11</v>
      </c>
      <c r="H90" s="193"/>
      <c r="I90" s="10"/>
      <c r="L90" s="77"/>
    </row>
    <row r="91" spans="1:12" x14ac:dyDescent="0.2">
      <c r="A91" s="10">
        <v>18639</v>
      </c>
      <c r="B91" s="11">
        <v>42387</v>
      </c>
      <c r="C91" s="12">
        <v>17.27</v>
      </c>
      <c r="D91" s="12">
        <v>1.32</v>
      </c>
      <c r="E91" s="12"/>
      <c r="F91" s="18"/>
      <c r="G91" s="19"/>
      <c r="H91" s="194"/>
      <c r="I91" s="10"/>
      <c r="L91" s="77"/>
    </row>
    <row r="92" spans="1:12" x14ac:dyDescent="0.2">
      <c r="A92" s="10">
        <v>18640</v>
      </c>
      <c r="B92" s="11">
        <v>42387</v>
      </c>
      <c r="C92" s="12">
        <v>16.670000000000002</v>
      </c>
      <c r="D92" s="12">
        <v>1.27</v>
      </c>
      <c r="E92" s="12"/>
      <c r="H92" s="194"/>
      <c r="I92" s="10"/>
      <c r="L92" s="77"/>
    </row>
    <row r="93" spans="1:12" x14ac:dyDescent="0.2">
      <c r="A93" s="10">
        <v>18641</v>
      </c>
      <c r="B93" s="11">
        <v>42387</v>
      </c>
      <c r="C93" s="12">
        <v>19.489999999999998</v>
      </c>
      <c r="D93" s="12">
        <v>1.49</v>
      </c>
      <c r="E93" s="12"/>
      <c r="H93" s="194"/>
      <c r="I93" s="10"/>
      <c r="L93" s="77"/>
    </row>
    <row r="94" spans="1:12" x14ac:dyDescent="0.2">
      <c r="A94" s="10">
        <v>18642</v>
      </c>
      <c r="B94" s="11">
        <v>42387</v>
      </c>
      <c r="C94" s="12">
        <v>241</v>
      </c>
      <c r="D94" s="12">
        <v>18.37</v>
      </c>
      <c r="E94" s="12"/>
      <c r="H94" s="194"/>
      <c r="I94" s="10"/>
      <c r="L94" s="77"/>
    </row>
    <row r="95" spans="1:12" x14ac:dyDescent="0.2">
      <c r="A95" s="10">
        <v>18643</v>
      </c>
      <c r="B95" s="11">
        <v>42387</v>
      </c>
      <c r="C95" s="12">
        <v>102.84</v>
      </c>
      <c r="D95" s="12">
        <v>7.84</v>
      </c>
      <c r="E95" s="15" t="s">
        <v>11</v>
      </c>
      <c r="F95" s="20">
        <f>141.42+C90+C95</f>
        <v>329.78</v>
      </c>
      <c r="G95" s="20">
        <v>327.7</v>
      </c>
      <c r="H95" s="193"/>
      <c r="I95" s="10"/>
      <c r="L95" s="77"/>
    </row>
    <row r="96" spans="1:12" x14ac:dyDescent="0.2">
      <c r="A96" s="10">
        <v>18644</v>
      </c>
      <c r="B96" s="11">
        <v>42388</v>
      </c>
      <c r="C96" s="12">
        <v>36.81</v>
      </c>
      <c r="D96" s="12">
        <v>2.81</v>
      </c>
      <c r="E96" s="15" t="s">
        <v>11</v>
      </c>
      <c r="F96" s="21"/>
      <c r="G96" s="22"/>
      <c r="H96" s="193"/>
      <c r="I96" s="10"/>
      <c r="L96" s="77"/>
    </row>
    <row r="97" spans="1:12" x14ac:dyDescent="0.2">
      <c r="A97" s="10">
        <v>18645</v>
      </c>
      <c r="B97" s="11">
        <v>42388</v>
      </c>
      <c r="C97" s="12">
        <v>26</v>
      </c>
      <c r="D97" s="12">
        <v>1.98</v>
      </c>
      <c r="E97" s="15" t="s">
        <v>533</v>
      </c>
      <c r="I97" s="10"/>
      <c r="L97" s="77"/>
    </row>
    <row r="98" spans="1:12" x14ac:dyDescent="0.2">
      <c r="A98" s="10">
        <v>18646</v>
      </c>
      <c r="B98" s="11">
        <v>42388</v>
      </c>
      <c r="C98" s="12">
        <v>-6.2800000000000011</v>
      </c>
      <c r="D98" s="12">
        <v>-0.48</v>
      </c>
      <c r="E98" s="17"/>
      <c r="I98" s="10"/>
      <c r="L98" s="77"/>
    </row>
    <row r="99" spans="1:12" x14ac:dyDescent="0.2">
      <c r="A99" s="10">
        <v>18647</v>
      </c>
      <c r="B99" s="11">
        <v>42388</v>
      </c>
      <c r="C99" s="12">
        <v>19</v>
      </c>
      <c r="D99" s="12">
        <v>1.45</v>
      </c>
      <c r="E99" s="15" t="s">
        <v>7</v>
      </c>
      <c r="F99" s="21"/>
      <c r="G99" s="22"/>
      <c r="H99" s="193"/>
      <c r="I99" s="10"/>
      <c r="L99" s="77"/>
    </row>
    <row r="100" spans="1:12" x14ac:dyDescent="0.2">
      <c r="A100" s="10">
        <v>18648</v>
      </c>
      <c r="B100" s="11">
        <v>42388</v>
      </c>
      <c r="C100" s="12">
        <v>15.16</v>
      </c>
      <c r="D100" s="12">
        <v>1.1599999999999999</v>
      </c>
      <c r="E100" s="17"/>
      <c r="I100" s="10"/>
      <c r="L100" s="77"/>
    </row>
    <row r="101" spans="1:12" x14ac:dyDescent="0.2">
      <c r="A101" s="10">
        <v>18649</v>
      </c>
      <c r="B101" s="11">
        <v>42388</v>
      </c>
      <c r="C101" s="12">
        <v>16.239999999999998</v>
      </c>
      <c r="D101" s="12">
        <v>1.24</v>
      </c>
      <c r="E101" s="17"/>
      <c r="I101" s="10"/>
      <c r="L101" s="77"/>
    </row>
    <row r="102" spans="1:12" x14ac:dyDescent="0.2">
      <c r="A102" s="10">
        <v>18650</v>
      </c>
      <c r="B102" s="11">
        <v>42388</v>
      </c>
      <c r="C102" s="12">
        <v>19.95</v>
      </c>
      <c r="D102" s="12">
        <v>1.52</v>
      </c>
      <c r="E102" s="17"/>
      <c r="I102" s="10"/>
      <c r="L102" s="77"/>
    </row>
    <row r="103" spans="1:12" x14ac:dyDescent="0.2">
      <c r="A103" s="10">
        <v>18651</v>
      </c>
      <c r="B103" s="11">
        <v>42388</v>
      </c>
      <c r="C103" s="12">
        <v>32.479999999999997</v>
      </c>
      <c r="D103" s="12">
        <v>2.48</v>
      </c>
      <c r="E103" s="17"/>
      <c r="F103" s="18"/>
      <c r="G103" s="19"/>
      <c r="H103" s="194"/>
      <c r="I103" s="10"/>
      <c r="L103" s="77"/>
    </row>
    <row r="104" spans="1:12" x14ac:dyDescent="0.2">
      <c r="A104" s="10">
        <v>18652</v>
      </c>
      <c r="B104" s="11">
        <v>42388</v>
      </c>
      <c r="C104" s="12">
        <v>40.309999999999995</v>
      </c>
      <c r="D104" s="12">
        <v>3.07</v>
      </c>
      <c r="E104" s="15" t="s">
        <v>11</v>
      </c>
      <c r="F104" s="21"/>
      <c r="G104" s="22"/>
      <c r="H104" s="193"/>
      <c r="I104" s="10"/>
      <c r="L104" s="77"/>
    </row>
    <row r="105" spans="1:12" x14ac:dyDescent="0.2">
      <c r="A105" s="10">
        <v>18653</v>
      </c>
      <c r="B105" s="11">
        <v>42388</v>
      </c>
      <c r="C105" s="12">
        <v>21.599999999999998</v>
      </c>
      <c r="D105" s="12">
        <v>1.65</v>
      </c>
      <c r="E105" s="13"/>
      <c r="F105" s="18"/>
      <c r="G105" s="19"/>
      <c r="H105" s="194"/>
      <c r="I105" s="10"/>
      <c r="L105" s="77"/>
    </row>
    <row r="106" spans="1:12" x14ac:dyDescent="0.2">
      <c r="A106" s="10">
        <v>18654</v>
      </c>
      <c r="B106" s="11">
        <v>42388</v>
      </c>
      <c r="C106" s="12">
        <v>39</v>
      </c>
      <c r="D106" s="12"/>
      <c r="E106" s="13" t="s">
        <v>8</v>
      </c>
      <c r="F106" s="18"/>
      <c r="G106" s="19"/>
      <c r="H106" s="194"/>
      <c r="I106" s="10"/>
      <c r="L106" s="77"/>
    </row>
    <row r="107" spans="1:12" x14ac:dyDescent="0.2">
      <c r="A107" s="10">
        <v>18655</v>
      </c>
      <c r="B107" s="11">
        <v>42388</v>
      </c>
      <c r="C107" s="12">
        <v>3</v>
      </c>
      <c r="D107" s="12"/>
      <c r="E107" s="13" t="s">
        <v>284</v>
      </c>
      <c r="F107" s="18"/>
      <c r="G107" s="19"/>
      <c r="H107" s="194"/>
      <c r="I107" s="10"/>
      <c r="L107" s="77"/>
    </row>
    <row r="108" spans="1:12" x14ac:dyDescent="0.2">
      <c r="A108" s="10">
        <v>18656</v>
      </c>
      <c r="B108" s="11">
        <v>42388</v>
      </c>
      <c r="C108" s="12">
        <v>-11.54</v>
      </c>
      <c r="D108" s="12"/>
      <c r="E108" s="13" t="s">
        <v>8</v>
      </c>
      <c r="F108" s="18"/>
      <c r="G108" s="19"/>
      <c r="H108" s="194"/>
      <c r="I108" s="10"/>
      <c r="L108" s="77"/>
    </row>
    <row r="109" spans="1:12" x14ac:dyDescent="0.2">
      <c r="A109" s="10">
        <v>18657</v>
      </c>
      <c r="B109" s="11">
        <v>42388</v>
      </c>
      <c r="C109" s="12">
        <v>12.99</v>
      </c>
      <c r="D109" s="12">
        <v>0.99</v>
      </c>
      <c r="E109" s="13"/>
      <c r="F109" s="18"/>
      <c r="G109" s="19"/>
      <c r="H109" s="194"/>
      <c r="I109" s="10"/>
      <c r="L109" s="77"/>
    </row>
    <row r="110" spans="1:12" x14ac:dyDescent="0.2">
      <c r="A110" s="10">
        <v>18658</v>
      </c>
      <c r="B110" s="11">
        <v>42388</v>
      </c>
      <c r="C110" s="12">
        <v>16.18</v>
      </c>
      <c r="D110" s="12">
        <v>1.23</v>
      </c>
      <c r="E110" s="13"/>
      <c r="F110" s="18"/>
      <c r="G110" s="19"/>
      <c r="H110" s="194"/>
      <c r="I110" s="10"/>
      <c r="L110" s="77"/>
    </row>
    <row r="111" spans="1:12" x14ac:dyDescent="0.2">
      <c r="A111" s="10">
        <v>18659</v>
      </c>
      <c r="B111" s="11">
        <v>42388</v>
      </c>
      <c r="C111" s="12">
        <v>33.56</v>
      </c>
      <c r="D111" s="12">
        <v>2.56</v>
      </c>
      <c r="E111" s="15" t="s">
        <v>11</v>
      </c>
      <c r="F111" s="20">
        <f>+C96+C99+C104+C111+200+26</f>
        <v>355.68</v>
      </c>
      <c r="G111" s="20">
        <f>323.03+25.28</f>
        <v>348.30999999999995</v>
      </c>
      <c r="H111" s="195"/>
      <c r="I111" s="10"/>
      <c r="L111" s="77"/>
    </row>
    <row r="112" spans="1:12" x14ac:dyDescent="0.2">
      <c r="A112" s="10">
        <v>18660</v>
      </c>
      <c r="B112" s="11">
        <v>42389</v>
      </c>
      <c r="C112" s="12">
        <v>171.04</v>
      </c>
      <c r="D112" s="12">
        <v>13.04</v>
      </c>
      <c r="E112" s="15" t="s">
        <v>133</v>
      </c>
      <c r="F112" s="21"/>
      <c r="G112" s="22"/>
      <c r="H112" s="193"/>
      <c r="I112" s="10"/>
      <c r="L112" s="77"/>
    </row>
    <row r="113" spans="1:12" x14ac:dyDescent="0.2">
      <c r="A113" s="10">
        <v>18661</v>
      </c>
      <c r="B113" s="11">
        <v>42389</v>
      </c>
      <c r="C113" s="12">
        <v>23</v>
      </c>
      <c r="D113" s="12"/>
      <c r="E113" s="15" t="s">
        <v>10</v>
      </c>
      <c r="H113" s="193"/>
      <c r="I113" s="10"/>
      <c r="L113" s="77"/>
    </row>
    <row r="114" spans="1:12" x14ac:dyDescent="0.2">
      <c r="A114" s="10">
        <v>18662</v>
      </c>
      <c r="B114" s="11">
        <v>42389</v>
      </c>
      <c r="C114" s="12">
        <v>41.03</v>
      </c>
      <c r="D114" s="12">
        <v>3.13</v>
      </c>
      <c r="E114" s="15" t="s">
        <v>26</v>
      </c>
      <c r="F114" s="21"/>
      <c r="G114" s="22"/>
      <c r="H114" s="193"/>
      <c r="I114" s="10"/>
      <c r="L114" s="77"/>
    </row>
    <row r="115" spans="1:12" x14ac:dyDescent="0.2">
      <c r="A115" s="10">
        <v>18663</v>
      </c>
      <c r="B115" s="11">
        <v>42389</v>
      </c>
      <c r="C115" s="12">
        <v>54.49</v>
      </c>
      <c r="D115" s="12"/>
      <c r="E115" s="15" t="s">
        <v>16</v>
      </c>
      <c r="F115" s="21"/>
      <c r="G115" s="22"/>
      <c r="H115" s="193"/>
      <c r="I115" s="10"/>
      <c r="L115" s="77"/>
    </row>
    <row r="116" spans="1:12" x14ac:dyDescent="0.2">
      <c r="A116" s="10">
        <v>18664</v>
      </c>
      <c r="B116" s="11">
        <v>42389</v>
      </c>
      <c r="C116" s="12">
        <v>20.93</v>
      </c>
      <c r="D116" s="12"/>
      <c r="E116" s="15" t="s">
        <v>16</v>
      </c>
      <c r="H116" s="193"/>
      <c r="I116" s="10"/>
      <c r="L116" s="77"/>
    </row>
    <row r="117" spans="1:12" x14ac:dyDescent="0.2">
      <c r="A117" s="10">
        <v>18665</v>
      </c>
      <c r="B117" s="11">
        <v>42389</v>
      </c>
      <c r="C117" s="12">
        <v>148.30000000000001</v>
      </c>
      <c r="D117" s="12">
        <v>11.3</v>
      </c>
      <c r="E117" s="15" t="s">
        <v>11</v>
      </c>
      <c r="F117" s="21"/>
      <c r="G117" s="22"/>
      <c r="H117" s="193"/>
      <c r="I117" s="10"/>
      <c r="L117" s="77"/>
    </row>
    <row r="118" spans="1:12" x14ac:dyDescent="0.2">
      <c r="A118" s="10">
        <v>18666</v>
      </c>
      <c r="B118" s="11">
        <v>42389</v>
      </c>
      <c r="C118" s="12">
        <v>11</v>
      </c>
      <c r="D118" s="12"/>
      <c r="E118" s="13"/>
      <c r="F118" s="18"/>
      <c r="G118" s="19"/>
      <c r="H118" s="194"/>
      <c r="I118" s="10"/>
      <c r="L118" s="77"/>
    </row>
    <row r="119" spans="1:12" x14ac:dyDescent="0.2">
      <c r="A119" s="10">
        <v>18667</v>
      </c>
      <c r="B119" s="11">
        <v>42389</v>
      </c>
      <c r="C119" s="12">
        <v>12.99</v>
      </c>
      <c r="D119" s="12">
        <v>0.99</v>
      </c>
      <c r="E119" s="13"/>
      <c r="F119" s="18"/>
      <c r="G119" s="19"/>
      <c r="H119" s="194"/>
      <c r="I119" s="10"/>
      <c r="L119" s="77"/>
    </row>
    <row r="120" spans="1:12" x14ac:dyDescent="0.2">
      <c r="A120" s="10">
        <v>18668</v>
      </c>
      <c r="B120" s="11">
        <v>42389</v>
      </c>
      <c r="C120" s="12">
        <v>82.27</v>
      </c>
      <c r="D120" s="12">
        <v>6.27</v>
      </c>
      <c r="E120" s="15" t="s">
        <v>11</v>
      </c>
      <c r="F120" s="20">
        <f>+C117+C120</f>
        <v>230.57</v>
      </c>
      <c r="G120" s="20">
        <v>228.1</v>
      </c>
      <c r="H120" s="193"/>
      <c r="I120" s="10"/>
      <c r="L120" s="77"/>
    </row>
    <row r="121" spans="1:12" x14ac:dyDescent="0.2">
      <c r="A121" s="10">
        <v>18669</v>
      </c>
      <c r="B121" s="11">
        <v>42390</v>
      </c>
      <c r="C121" s="12">
        <v>30.31</v>
      </c>
      <c r="D121" s="12">
        <v>2.31</v>
      </c>
      <c r="E121" s="15" t="s">
        <v>551</v>
      </c>
      <c r="H121" s="193"/>
      <c r="I121" s="10"/>
      <c r="L121" s="77"/>
    </row>
    <row r="122" spans="1:12" x14ac:dyDescent="0.2">
      <c r="A122" s="10">
        <v>18670</v>
      </c>
      <c r="B122" s="11">
        <v>42390</v>
      </c>
      <c r="C122" s="12">
        <v>74.69</v>
      </c>
      <c r="D122" s="12">
        <v>5.69</v>
      </c>
      <c r="E122" s="15"/>
      <c r="H122" s="193"/>
      <c r="I122" s="10"/>
      <c r="L122" s="77"/>
    </row>
    <row r="123" spans="1:12" x14ac:dyDescent="0.2">
      <c r="A123" s="10">
        <v>18671</v>
      </c>
      <c r="B123" s="11">
        <v>42390</v>
      </c>
      <c r="C123" s="12">
        <v>424.34000000000003</v>
      </c>
      <c r="D123" s="12">
        <v>32.340000000000003</v>
      </c>
      <c r="E123" s="15" t="s">
        <v>552</v>
      </c>
      <c r="H123" s="193"/>
      <c r="I123" s="10"/>
      <c r="L123" s="77"/>
    </row>
    <row r="124" spans="1:12" x14ac:dyDescent="0.2">
      <c r="A124" s="10">
        <v>18672</v>
      </c>
      <c r="B124" s="11">
        <v>42390</v>
      </c>
      <c r="C124" s="12">
        <v>156.41999999999999</v>
      </c>
      <c r="D124" s="12">
        <v>11.92</v>
      </c>
      <c r="E124" s="15" t="s">
        <v>11</v>
      </c>
      <c r="H124" s="193"/>
      <c r="I124" s="10"/>
      <c r="L124" s="77"/>
    </row>
    <row r="125" spans="1:12" x14ac:dyDescent="0.2">
      <c r="A125" s="10">
        <v>18673</v>
      </c>
      <c r="B125" s="11">
        <v>42390</v>
      </c>
      <c r="C125" s="12">
        <v>128.82</v>
      </c>
      <c r="D125" s="12">
        <v>9.82</v>
      </c>
      <c r="E125" s="15" t="s">
        <v>11</v>
      </c>
      <c r="H125" s="193"/>
      <c r="I125" s="10"/>
      <c r="L125" s="77"/>
    </row>
    <row r="126" spans="1:12" x14ac:dyDescent="0.2">
      <c r="A126" s="10">
        <v>18674</v>
      </c>
      <c r="B126" s="11">
        <v>42390</v>
      </c>
      <c r="C126" s="12">
        <v>60</v>
      </c>
      <c r="D126" s="12">
        <v>4.57</v>
      </c>
      <c r="E126" s="15" t="s">
        <v>533</v>
      </c>
      <c r="I126" s="10"/>
      <c r="L126" s="77"/>
    </row>
    <row r="127" spans="1:12" x14ac:dyDescent="0.2">
      <c r="A127" s="10">
        <v>18675</v>
      </c>
      <c r="B127" s="11">
        <v>42390</v>
      </c>
      <c r="C127" s="12">
        <v>35.67</v>
      </c>
      <c r="D127" s="12">
        <v>2.72</v>
      </c>
      <c r="E127" s="15" t="s">
        <v>11</v>
      </c>
      <c r="F127" s="21"/>
      <c r="G127" s="22"/>
      <c r="H127" s="193"/>
      <c r="I127" s="10"/>
      <c r="L127" s="77"/>
    </row>
    <row r="128" spans="1:12" x14ac:dyDescent="0.2">
      <c r="A128" s="10">
        <v>18676</v>
      </c>
      <c r="B128" s="11">
        <v>42390</v>
      </c>
      <c r="C128" s="12">
        <v>-128.82</v>
      </c>
      <c r="D128" s="12">
        <v>-9.82</v>
      </c>
      <c r="E128" s="15" t="s">
        <v>11</v>
      </c>
      <c r="F128" s="21"/>
      <c r="G128" s="22"/>
      <c r="H128" s="193"/>
      <c r="I128" s="10"/>
      <c r="L128" s="77"/>
    </row>
    <row r="129" spans="1:12" x14ac:dyDescent="0.2">
      <c r="A129" s="10">
        <v>18677</v>
      </c>
      <c r="B129" s="11">
        <v>42390</v>
      </c>
      <c r="C129" s="12">
        <v>7.58</v>
      </c>
      <c r="D129" s="12">
        <v>0.57999999999999996</v>
      </c>
      <c r="E129" s="15" t="s">
        <v>11</v>
      </c>
      <c r="F129" s="20">
        <f>+C124+C125+C127+C128+C129+60</f>
        <v>259.67000000000007</v>
      </c>
      <c r="G129" s="20">
        <f>197.27+58.35</f>
        <v>255.62</v>
      </c>
      <c r="H129" s="195"/>
      <c r="I129" s="10"/>
      <c r="L129" s="77"/>
    </row>
    <row r="130" spans="1:12" x14ac:dyDescent="0.2">
      <c r="A130" s="10">
        <v>18678</v>
      </c>
      <c r="B130" s="11">
        <v>42391</v>
      </c>
      <c r="C130" s="12">
        <v>15</v>
      </c>
      <c r="D130" s="12"/>
      <c r="E130" s="15" t="s">
        <v>17</v>
      </c>
      <c r="F130" s="21"/>
      <c r="G130" s="22"/>
      <c r="H130" s="193"/>
      <c r="I130" s="10"/>
      <c r="L130" s="77"/>
    </row>
    <row r="131" spans="1:12" x14ac:dyDescent="0.2">
      <c r="A131" s="10">
        <v>18679</v>
      </c>
      <c r="B131" s="11">
        <v>42391</v>
      </c>
      <c r="C131" s="12">
        <v>17.27</v>
      </c>
      <c r="D131" s="12">
        <v>1.32</v>
      </c>
      <c r="E131" s="17"/>
      <c r="H131" s="194"/>
      <c r="I131" s="10"/>
      <c r="L131" s="77"/>
    </row>
    <row r="132" spans="1:12" x14ac:dyDescent="0.2">
      <c r="A132" s="10">
        <v>18680</v>
      </c>
      <c r="B132" s="11">
        <v>42391</v>
      </c>
      <c r="C132" s="12">
        <v>378.88</v>
      </c>
      <c r="D132" s="12">
        <v>28.88</v>
      </c>
      <c r="E132" s="15" t="s">
        <v>21</v>
      </c>
      <c r="F132" s="21"/>
      <c r="G132" s="22"/>
      <c r="H132" s="193"/>
      <c r="I132" s="10"/>
      <c r="L132" s="77"/>
    </row>
    <row r="133" spans="1:12" x14ac:dyDescent="0.2">
      <c r="A133" s="10">
        <v>18681</v>
      </c>
      <c r="B133" s="11">
        <v>42391</v>
      </c>
      <c r="C133" s="12">
        <v>16.239999999999998</v>
      </c>
      <c r="D133" s="12">
        <v>1.24</v>
      </c>
      <c r="E133" s="15" t="s">
        <v>11</v>
      </c>
      <c r="F133" s="21"/>
      <c r="G133" s="22"/>
      <c r="H133" s="193"/>
      <c r="I133" s="10"/>
      <c r="L133" s="77"/>
    </row>
    <row r="134" spans="1:12" x14ac:dyDescent="0.2">
      <c r="A134" s="10">
        <v>18682</v>
      </c>
      <c r="B134" s="11">
        <v>42391</v>
      </c>
      <c r="C134" s="12">
        <v>232.74</v>
      </c>
      <c r="D134" s="12">
        <v>17.739999999999998</v>
      </c>
      <c r="E134" s="13"/>
      <c r="F134" s="18"/>
      <c r="G134" s="19"/>
      <c r="H134" s="194"/>
      <c r="I134" s="10"/>
      <c r="L134" s="77"/>
    </row>
    <row r="135" spans="1:12" x14ac:dyDescent="0.2">
      <c r="A135" s="10">
        <v>18683</v>
      </c>
      <c r="B135" s="11">
        <v>42391</v>
      </c>
      <c r="C135" s="12">
        <v>10.780000000000001</v>
      </c>
      <c r="D135" s="12">
        <v>0.82</v>
      </c>
      <c r="E135" s="15" t="s">
        <v>11</v>
      </c>
      <c r="F135" s="21"/>
      <c r="G135" s="22"/>
      <c r="H135" s="193"/>
      <c r="I135" s="10"/>
      <c r="L135" s="77"/>
    </row>
    <row r="136" spans="1:12" x14ac:dyDescent="0.2">
      <c r="A136" s="10">
        <v>18684</v>
      </c>
      <c r="B136" s="11">
        <v>42391</v>
      </c>
      <c r="C136" s="12">
        <v>19.21</v>
      </c>
      <c r="D136" s="12">
        <v>1.46</v>
      </c>
      <c r="E136" s="15" t="s">
        <v>533</v>
      </c>
      <c r="I136" s="10"/>
      <c r="L136" s="77"/>
    </row>
    <row r="137" spans="1:12" x14ac:dyDescent="0.2">
      <c r="A137" s="10">
        <v>18685</v>
      </c>
      <c r="B137" s="11">
        <v>42391</v>
      </c>
      <c r="C137" s="12">
        <v>54.13</v>
      </c>
      <c r="D137" s="12">
        <v>4.13</v>
      </c>
      <c r="E137" s="15" t="s">
        <v>11</v>
      </c>
      <c r="I137" s="10"/>
      <c r="L137" s="77"/>
    </row>
    <row r="138" spans="1:12" x14ac:dyDescent="0.2">
      <c r="A138" s="10">
        <v>18686</v>
      </c>
      <c r="B138" s="11">
        <v>42391</v>
      </c>
      <c r="C138" s="12">
        <v>89.85</v>
      </c>
      <c r="D138" s="12">
        <v>6.85</v>
      </c>
      <c r="E138" s="15" t="s">
        <v>11</v>
      </c>
      <c r="F138" s="21"/>
      <c r="G138" s="22"/>
      <c r="H138" s="193"/>
      <c r="I138" s="10"/>
      <c r="L138" s="77"/>
    </row>
    <row r="139" spans="1:12" x14ac:dyDescent="0.2">
      <c r="A139" s="10">
        <v>18687</v>
      </c>
      <c r="B139" s="11">
        <v>42391</v>
      </c>
      <c r="C139" s="12">
        <v>30.2</v>
      </c>
      <c r="D139" s="12">
        <v>2.2999999999999998</v>
      </c>
      <c r="E139" s="13"/>
      <c r="F139" s="18"/>
      <c r="G139" s="19"/>
      <c r="H139" s="194"/>
      <c r="I139" s="10"/>
      <c r="L139" s="77"/>
    </row>
    <row r="140" spans="1:12" x14ac:dyDescent="0.2">
      <c r="A140" s="10">
        <v>18688</v>
      </c>
      <c r="B140" s="11">
        <v>42391</v>
      </c>
      <c r="C140" s="12">
        <v>115.05</v>
      </c>
      <c r="D140" s="12">
        <v>8.77</v>
      </c>
      <c r="E140" s="15" t="s">
        <v>11</v>
      </c>
      <c r="I140" s="10"/>
      <c r="L140" s="77"/>
    </row>
    <row r="141" spans="1:12" x14ac:dyDescent="0.2">
      <c r="A141" s="10">
        <v>18689</v>
      </c>
      <c r="B141" s="11">
        <v>42391</v>
      </c>
      <c r="C141" s="12">
        <v>18.349999999999998</v>
      </c>
      <c r="D141" s="12">
        <v>1.4</v>
      </c>
      <c r="E141" s="15" t="s">
        <v>11</v>
      </c>
      <c r="F141" s="20">
        <f>+C133+C135+C137+C138+C140+C141+C123+C130+19.21</f>
        <v>762.95</v>
      </c>
      <c r="G141" s="20">
        <f>730.63+18.68</f>
        <v>749.31</v>
      </c>
      <c r="H141" s="195"/>
      <c r="I141" s="10"/>
      <c r="L141" s="77"/>
    </row>
    <row r="142" spans="1:12" x14ac:dyDescent="0.2">
      <c r="A142" s="10">
        <v>18690</v>
      </c>
      <c r="B142" s="11">
        <v>42392</v>
      </c>
      <c r="C142" s="12">
        <v>172.12</v>
      </c>
      <c r="D142" s="12">
        <v>13.12</v>
      </c>
      <c r="E142" s="17"/>
      <c r="F142" s="18"/>
      <c r="G142" s="19"/>
      <c r="H142" s="194"/>
      <c r="I142" s="10"/>
      <c r="L142" s="77"/>
    </row>
    <row r="143" spans="1:12" x14ac:dyDescent="0.2">
      <c r="A143" s="10">
        <v>18691</v>
      </c>
      <c r="B143" s="11">
        <v>42392</v>
      </c>
      <c r="C143" s="12">
        <v>214.34</v>
      </c>
      <c r="D143" s="12">
        <v>16.34</v>
      </c>
      <c r="E143" s="15" t="s">
        <v>553</v>
      </c>
      <c r="H143" s="193"/>
      <c r="I143" s="10"/>
      <c r="L143" s="77"/>
    </row>
    <row r="144" spans="1:12" x14ac:dyDescent="0.2">
      <c r="A144" s="10">
        <v>18692</v>
      </c>
      <c r="B144" s="11">
        <v>42392</v>
      </c>
      <c r="C144" s="12">
        <v>11.91</v>
      </c>
      <c r="D144" s="12">
        <v>0.91</v>
      </c>
      <c r="E144" s="17"/>
      <c r="F144" s="18"/>
      <c r="G144" s="19"/>
      <c r="H144" s="194"/>
      <c r="I144" s="10"/>
      <c r="L144" s="77"/>
    </row>
    <row r="145" spans="1:12" x14ac:dyDescent="0.2">
      <c r="A145" s="10">
        <v>18693</v>
      </c>
      <c r="B145" s="11">
        <v>42392</v>
      </c>
      <c r="C145" s="12">
        <v>8.09</v>
      </c>
      <c r="D145" s="12">
        <v>0.62</v>
      </c>
      <c r="E145" s="17"/>
      <c r="F145" s="18"/>
      <c r="G145" s="19"/>
      <c r="H145" s="194"/>
      <c r="I145" s="10"/>
      <c r="L145" s="77"/>
    </row>
    <row r="146" spans="1:12" x14ac:dyDescent="0.2">
      <c r="A146" s="10">
        <v>18694</v>
      </c>
      <c r="B146" s="11">
        <v>42392</v>
      </c>
      <c r="C146" s="12">
        <v>46.919999999999995</v>
      </c>
      <c r="D146" s="12">
        <v>3.58</v>
      </c>
      <c r="E146" s="15" t="s">
        <v>7</v>
      </c>
      <c r="F146" s="21"/>
      <c r="G146" s="22"/>
      <c r="H146" s="193"/>
      <c r="I146" s="10"/>
      <c r="L146" s="77"/>
    </row>
    <row r="147" spans="1:12" x14ac:dyDescent="0.2">
      <c r="A147" s="10">
        <v>18695</v>
      </c>
      <c r="B147" s="11">
        <v>42392</v>
      </c>
      <c r="C147" s="12">
        <v>26.2</v>
      </c>
      <c r="D147" s="12">
        <v>2</v>
      </c>
      <c r="E147" s="15" t="s">
        <v>11</v>
      </c>
      <c r="F147" s="21"/>
      <c r="G147" s="22"/>
      <c r="H147" s="193"/>
      <c r="I147" s="10"/>
      <c r="L147" s="77"/>
    </row>
    <row r="148" spans="1:12" x14ac:dyDescent="0.2">
      <c r="A148" s="10">
        <v>18696</v>
      </c>
      <c r="B148" s="11">
        <v>42392</v>
      </c>
      <c r="C148" s="12">
        <v>180</v>
      </c>
      <c r="D148" s="12">
        <v>13.72</v>
      </c>
      <c r="E148" s="17"/>
      <c r="H148" s="194"/>
      <c r="I148" s="10"/>
      <c r="L148" s="77"/>
    </row>
    <row r="149" spans="1:12" x14ac:dyDescent="0.2">
      <c r="A149" s="10">
        <v>18697</v>
      </c>
      <c r="B149" s="11">
        <v>42392</v>
      </c>
      <c r="C149" s="12">
        <v>10.77</v>
      </c>
      <c r="D149" s="12">
        <v>0.82</v>
      </c>
      <c r="E149" s="15" t="s">
        <v>11</v>
      </c>
      <c r="H149" s="193"/>
      <c r="I149" s="10"/>
      <c r="L149" s="77"/>
    </row>
    <row r="150" spans="1:12" x14ac:dyDescent="0.2">
      <c r="A150" s="10">
        <v>18698</v>
      </c>
      <c r="B150" s="11">
        <v>42392</v>
      </c>
      <c r="C150" s="12">
        <v>90</v>
      </c>
      <c r="D150" s="12">
        <v>6.86</v>
      </c>
      <c r="E150" s="17"/>
      <c r="F150" s="18"/>
      <c r="G150" s="19"/>
      <c r="H150" s="194"/>
      <c r="I150" s="10"/>
      <c r="L150" s="77"/>
    </row>
    <row r="151" spans="1:12" x14ac:dyDescent="0.2">
      <c r="A151" s="10">
        <v>18699</v>
      </c>
      <c r="B151" s="11">
        <v>42392</v>
      </c>
      <c r="C151" s="12">
        <v>555.32000000000005</v>
      </c>
      <c r="D151" s="12">
        <v>42.32</v>
      </c>
      <c r="E151" s="13"/>
      <c r="F151" s="20">
        <f>+C146+C147+C149</f>
        <v>83.889999999999986</v>
      </c>
      <c r="G151" s="20">
        <v>82.25</v>
      </c>
      <c r="H151" s="194"/>
      <c r="I151" s="10"/>
      <c r="L151" s="77"/>
    </row>
    <row r="152" spans="1:12" x14ac:dyDescent="0.2">
      <c r="A152" s="10">
        <v>18700</v>
      </c>
      <c r="B152" s="11">
        <v>42394</v>
      </c>
      <c r="C152" s="12">
        <v>18.349999999999998</v>
      </c>
      <c r="D152" s="12">
        <v>1.4</v>
      </c>
      <c r="E152" s="15" t="s">
        <v>7</v>
      </c>
      <c r="H152" s="193"/>
      <c r="I152" s="10"/>
      <c r="L152" s="77"/>
    </row>
    <row r="153" spans="1:12" x14ac:dyDescent="0.2">
      <c r="A153" s="10">
        <v>18701</v>
      </c>
      <c r="B153" s="11">
        <v>42394</v>
      </c>
      <c r="C153" s="12">
        <v>137.5</v>
      </c>
      <c r="D153" s="12"/>
      <c r="E153" s="13" t="s">
        <v>300</v>
      </c>
      <c r="H153" s="194"/>
      <c r="I153" s="10"/>
      <c r="L153" s="77"/>
    </row>
    <row r="154" spans="1:12" x14ac:dyDescent="0.2">
      <c r="A154" s="10">
        <v>18702</v>
      </c>
      <c r="B154" s="11">
        <v>42394</v>
      </c>
      <c r="C154" s="12">
        <v>35.72</v>
      </c>
      <c r="D154" s="12">
        <v>2.72</v>
      </c>
      <c r="E154" s="15" t="s">
        <v>11</v>
      </c>
      <c r="F154" s="21"/>
      <c r="G154" s="22"/>
      <c r="H154" s="193"/>
      <c r="I154" s="10"/>
      <c r="L154" s="77"/>
    </row>
    <row r="155" spans="1:12" x14ac:dyDescent="0.2">
      <c r="A155" s="10">
        <v>18703</v>
      </c>
      <c r="B155" s="11">
        <v>42394</v>
      </c>
      <c r="C155" s="12"/>
      <c r="D155" s="12"/>
      <c r="E155" s="15" t="s">
        <v>554</v>
      </c>
      <c r="H155" s="193"/>
      <c r="I155" s="10"/>
      <c r="L155" s="77"/>
    </row>
    <row r="156" spans="1:12" x14ac:dyDescent="0.2">
      <c r="A156" s="10">
        <v>18704</v>
      </c>
      <c r="B156" s="11">
        <v>42394</v>
      </c>
      <c r="C156" s="12">
        <v>199.18</v>
      </c>
      <c r="D156" s="12">
        <v>15.18</v>
      </c>
      <c r="E156" s="15" t="s">
        <v>11</v>
      </c>
      <c r="F156" s="21"/>
      <c r="G156" s="22"/>
      <c r="H156" s="193"/>
      <c r="I156" s="10"/>
      <c r="L156" s="77"/>
    </row>
    <row r="157" spans="1:12" x14ac:dyDescent="0.2">
      <c r="A157" s="10">
        <v>18705</v>
      </c>
      <c r="B157" s="196">
        <v>42394</v>
      </c>
      <c r="C157" s="12">
        <v>191.6</v>
      </c>
      <c r="D157" s="12">
        <v>14.6</v>
      </c>
      <c r="E157" s="15" t="s">
        <v>11</v>
      </c>
      <c r="F157" s="115"/>
      <c r="G157" s="115"/>
      <c r="H157" s="193"/>
      <c r="I157" s="10"/>
      <c r="L157" s="77"/>
    </row>
    <row r="158" spans="1:12" x14ac:dyDescent="0.2">
      <c r="A158" s="10">
        <v>18706</v>
      </c>
      <c r="B158" s="11">
        <v>42394</v>
      </c>
      <c r="C158" s="12">
        <v>12.99</v>
      </c>
      <c r="D158" s="12">
        <v>0.99</v>
      </c>
      <c r="E158" s="15" t="s">
        <v>11</v>
      </c>
      <c r="F158" s="21"/>
      <c r="G158" s="22"/>
      <c r="H158" s="193"/>
      <c r="I158" s="10"/>
      <c r="L158" s="77"/>
    </row>
    <row r="159" spans="1:12" x14ac:dyDescent="0.2">
      <c r="A159" s="10">
        <v>18707</v>
      </c>
      <c r="B159" s="11">
        <v>42394</v>
      </c>
      <c r="C159" s="12">
        <v>74.69</v>
      </c>
      <c r="D159" s="12">
        <v>5.69</v>
      </c>
      <c r="E159" s="15" t="s">
        <v>11</v>
      </c>
      <c r="F159" s="21"/>
      <c r="G159" s="22"/>
      <c r="H159" s="193"/>
      <c r="I159" s="10"/>
      <c r="L159" s="77"/>
    </row>
    <row r="160" spans="1:12" x14ac:dyDescent="0.2">
      <c r="A160" s="10">
        <v>18708</v>
      </c>
      <c r="B160" s="11">
        <v>42394</v>
      </c>
      <c r="C160" s="12">
        <v>211.63</v>
      </c>
      <c r="D160" s="12">
        <v>16.13</v>
      </c>
      <c r="E160" s="15" t="s">
        <v>7</v>
      </c>
      <c r="H160" s="193"/>
      <c r="I160" s="10"/>
      <c r="L160" s="77"/>
    </row>
    <row r="161" spans="1:12" x14ac:dyDescent="0.2">
      <c r="A161" s="10">
        <v>18709</v>
      </c>
      <c r="B161" s="11">
        <v>42394</v>
      </c>
      <c r="C161" s="12">
        <v>140.72999999999999</v>
      </c>
      <c r="D161" s="12">
        <v>10.73</v>
      </c>
      <c r="E161" s="15" t="s">
        <v>11</v>
      </c>
      <c r="H161" s="193"/>
      <c r="I161" s="10"/>
      <c r="L161" s="77"/>
    </row>
    <row r="162" spans="1:12" x14ac:dyDescent="0.2">
      <c r="A162" s="10">
        <v>18710</v>
      </c>
      <c r="B162" s="11">
        <v>42394</v>
      </c>
      <c r="C162" s="12">
        <v>5.41</v>
      </c>
      <c r="D162" s="12">
        <v>0.41</v>
      </c>
      <c r="E162" s="17"/>
      <c r="F162" s="18"/>
      <c r="G162" s="19"/>
      <c r="H162" s="194"/>
      <c r="I162" s="10"/>
      <c r="L162" s="77"/>
    </row>
    <row r="163" spans="1:12" x14ac:dyDescent="0.2">
      <c r="A163" s="10">
        <v>18711</v>
      </c>
      <c r="B163" s="11">
        <v>42394</v>
      </c>
      <c r="C163" s="12">
        <v>22</v>
      </c>
      <c r="D163" s="12">
        <v>1.68</v>
      </c>
      <c r="E163" s="17"/>
      <c r="F163" s="20">
        <f>+C152+C154+C156+C157+C158+C159+C160+C161+0.01</f>
        <v>884.9</v>
      </c>
      <c r="G163" s="20">
        <v>875.11</v>
      </c>
      <c r="H163" s="194"/>
      <c r="I163" s="10"/>
      <c r="L163" s="77"/>
    </row>
    <row r="164" spans="1:12" x14ac:dyDescent="0.2">
      <c r="A164" s="10">
        <v>18712</v>
      </c>
      <c r="B164" s="11">
        <v>42395</v>
      </c>
      <c r="C164" s="12">
        <v>79.02</v>
      </c>
      <c r="D164" s="12">
        <v>6.02</v>
      </c>
      <c r="E164" s="15" t="s">
        <v>555</v>
      </c>
      <c r="H164" s="193"/>
      <c r="I164" s="10"/>
      <c r="L164" s="77"/>
    </row>
    <row r="165" spans="1:12" x14ac:dyDescent="0.2">
      <c r="A165" s="10">
        <v>18713</v>
      </c>
      <c r="B165" s="11">
        <v>42395</v>
      </c>
      <c r="C165" s="12">
        <v>118.53</v>
      </c>
      <c r="D165" s="12">
        <v>9.0299999999999994</v>
      </c>
      <c r="E165" s="15" t="s">
        <v>26</v>
      </c>
      <c r="F165" s="21"/>
      <c r="G165" s="22"/>
      <c r="H165" s="193"/>
      <c r="I165" s="10"/>
      <c r="L165" s="77"/>
    </row>
    <row r="166" spans="1:12" x14ac:dyDescent="0.2">
      <c r="A166" s="10">
        <v>18714</v>
      </c>
      <c r="B166" s="11">
        <v>42395</v>
      </c>
      <c r="C166" s="12">
        <v>1234.05</v>
      </c>
      <c r="D166" s="12">
        <v>94.05</v>
      </c>
      <c r="E166" s="15" t="s">
        <v>556</v>
      </c>
      <c r="H166" s="193"/>
      <c r="I166" s="10"/>
      <c r="L166" s="77"/>
    </row>
    <row r="167" spans="1:12" x14ac:dyDescent="0.2">
      <c r="A167" s="10">
        <v>18715</v>
      </c>
      <c r="B167" s="11">
        <v>42395</v>
      </c>
      <c r="C167" s="12">
        <v>-161.94</v>
      </c>
      <c r="D167" s="12">
        <v>-12.34</v>
      </c>
      <c r="E167" s="15" t="s">
        <v>21</v>
      </c>
      <c r="F167" s="21"/>
      <c r="G167" s="22"/>
      <c r="H167" s="193"/>
      <c r="I167" s="10"/>
      <c r="L167" s="77"/>
    </row>
    <row r="168" spans="1:12" x14ac:dyDescent="0.2">
      <c r="A168" s="10">
        <v>18716</v>
      </c>
      <c r="B168" s="11">
        <v>42395</v>
      </c>
      <c r="C168" s="12">
        <v>70.36</v>
      </c>
      <c r="D168" s="12">
        <v>5.36</v>
      </c>
      <c r="E168" s="13"/>
      <c r="F168" s="18"/>
      <c r="G168" s="19"/>
      <c r="H168" s="194"/>
      <c r="I168" s="10"/>
      <c r="L168" s="77"/>
    </row>
    <row r="169" spans="1:12" x14ac:dyDescent="0.2">
      <c r="A169" s="10">
        <v>18717</v>
      </c>
      <c r="B169" s="11">
        <v>42395</v>
      </c>
      <c r="C169" s="12">
        <v>139.63999999999999</v>
      </c>
      <c r="D169" s="12">
        <v>10.64</v>
      </c>
      <c r="E169" s="15" t="s">
        <v>11</v>
      </c>
      <c r="F169" s="21"/>
      <c r="G169" s="22"/>
      <c r="H169" s="193"/>
      <c r="I169" s="10"/>
      <c r="L169" s="77"/>
    </row>
    <row r="170" spans="1:12" x14ac:dyDescent="0.2">
      <c r="A170" s="10">
        <v>18718</v>
      </c>
      <c r="B170" s="11">
        <v>42395</v>
      </c>
      <c r="C170" s="12">
        <v>43.3</v>
      </c>
      <c r="D170" s="12">
        <v>3.3</v>
      </c>
      <c r="E170" s="15" t="s">
        <v>533</v>
      </c>
      <c r="I170" s="10"/>
      <c r="L170" s="77"/>
    </row>
    <row r="171" spans="1:12" x14ac:dyDescent="0.2">
      <c r="A171" s="10">
        <v>18719</v>
      </c>
      <c r="B171" s="11">
        <v>42395</v>
      </c>
      <c r="C171" s="12">
        <v>29.169999999999998</v>
      </c>
      <c r="D171" s="12">
        <v>2.2200000000000002</v>
      </c>
      <c r="E171" s="15" t="s">
        <v>11</v>
      </c>
      <c r="I171" s="10"/>
      <c r="L171" s="77"/>
    </row>
    <row r="172" spans="1:12" x14ac:dyDescent="0.2">
      <c r="A172" s="10">
        <v>18720</v>
      </c>
      <c r="B172" s="11">
        <v>42395</v>
      </c>
      <c r="C172" s="12">
        <v>8.66</v>
      </c>
      <c r="D172" s="12">
        <v>0.66</v>
      </c>
      <c r="E172" s="15" t="s">
        <v>11</v>
      </c>
      <c r="I172" s="10"/>
      <c r="L172" s="77"/>
    </row>
    <row r="173" spans="1:12" x14ac:dyDescent="0.2">
      <c r="A173" s="10">
        <v>18721</v>
      </c>
      <c r="B173" s="11">
        <v>42395</v>
      </c>
      <c r="C173" s="12">
        <v>20</v>
      </c>
      <c r="D173" s="12">
        <v>1.52</v>
      </c>
      <c r="E173" s="15" t="s">
        <v>11</v>
      </c>
      <c r="I173" s="10"/>
      <c r="L173" s="77"/>
    </row>
    <row r="174" spans="1:12" x14ac:dyDescent="0.2">
      <c r="A174" s="10">
        <v>18722</v>
      </c>
      <c r="B174" s="11">
        <v>42395</v>
      </c>
      <c r="C174" s="12">
        <v>35.67</v>
      </c>
      <c r="D174" s="12">
        <v>2.72</v>
      </c>
      <c r="E174" s="15" t="s">
        <v>11</v>
      </c>
      <c r="I174" s="10"/>
      <c r="L174" s="77"/>
    </row>
    <row r="175" spans="1:12" x14ac:dyDescent="0.2">
      <c r="A175" s="10">
        <v>18723</v>
      </c>
      <c r="B175" s="11">
        <v>42395</v>
      </c>
      <c r="C175" s="12">
        <v>43</v>
      </c>
      <c r="D175" s="12">
        <v>3.28</v>
      </c>
      <c r="E175" s="17"/>
      <c r="F175" s="20">
        <f>+C171+C172+C173+C174+43.3</f>
        <v>136.80000000000001</v>
      </c>
      <c r="G175" s="20">
        <f>91.75+42.11</f>
        <v>133.86000000000001</v>
      </c>
      <c r="H175" s="195"/>
      <c r="I175" s="10"/>
      <c r="L175" s="77"/>
    </row>
    <row r="176" spans="1:12" x14ac:dyDescent="0.2">
      <c r="A176" s="10">
        <v>18724</v>
      </c>
      <c r="B176" s="11">
        <v>42396</v>
      </c>
      <c r="C176" s="12">
        <v>-18.400000000000002</v>
      </c>
      <c r="D176" s="12">
        <v>-1.4</v>
      </c>
      <c r="E176" s="15" t="s">
        <v>11</v>
      </c>
      <c r="H176" s="193"/>
      <c r="I176" s="10"/>
      <c r="L176" s="77"/>
    </row>
    <row r="177" spans="1:12" x14ac:dyDescent="0.2">
      <c r="A177" s="10">
        <v>18725</v>
      </c>
      <c r="B177" s="11">
        <v>42396</v>
      </c>
      <c r="C177" s="12">
        <v>27.06</v>
      </c>
      <c r="D177" s="12">
        <v>2.06</v>
      </c>
      <c r="E177" s="15" t="s">
        <v>11</v>
      </c>
      <c r="H177" s="193"/>
      <c r="I177" s="10"/>
      <c r="L177" s="77"/>
    </row>
    <row r="178" spans="1:12" x14ac:dyDescent="0.2">
      <c r="A178" s="10">
        <v>18726</v>
      </c>
      <c r="B178" s="11">
        <v>42396</v>
      </c>
      <c r="C178" s="12">
        <v>20</v>
      </c>
      <c r="D178" s="12">
        <v>1.52</v>
      </c>
      <c r="E178" s="17"/>
      <c r="F178" s="18"/>
      <c r="G178" s="19"/>
      <c r="H178" s="194"/>
      <c r="I178" s="10"/>
      <c r="L178" s="77"/>
    </row>
    <row r="179" spans="1:12" x14ac:dyDescent="0.2">
      <c r="A179" s="10">
        <v>18727</v>
      </c>
      <c r="B179" s="11">
        <v>42396</v>
      </c>
      <c r="C179" s="12">
        <v>21</v>
      </c>
      <c r="D179" s="12">
        <v>1.6</v>
      </c>
      <c r="E179" s="17"/>
      <c r="F179" s="18"/>
      <c r="G179" s="19"/>
      <c r="H179" s="194"/>
      <c r="I179" s="10"/>
      <c r="L179" s="77"/>
    </row>
    <row r="180" spans="1:12" x14ac:dyDescent="0.2">
      <c r="A180" s="10">
        <v>18728</v>
      </c>
      <c r="B180" s="11">
        <v>42396</v>
      </c>
      <c r="C180" s="12">
        <v>747.99999999999989</v>
      </c>
      <c r="D180" s="12"/>
      <c r="E180" s="15" t="s">
        <v>82</v>
      </c>
      <c r="H180" s="193"/>
      <c r="I180" s="10"/>
      <c r="L180" s="77"/>
    </row>
    <row r="181" spans="1:12" x14ac:dyDescent="0.2">
      <c r="A181" s="10">
        <v>18729</v>
      </c>
      <c r="B181" s="11">
        <v>42396</v>
      </c>
      <c r="C181" s="12">
        <v>141.37</v>
      </c>
      <c r="D181" s="12"/>
      <c r="E181" s="15" t="s">
        <v>21</v>
      </c>
      <c r="F181" s="21"/>
      <c r="G181" s="22"/>
      <c r="H181" s="193"/>
      <c r="I181" s="10"/>
      <c r="L181" s="77"/>
    </row>
    <row r="182" spans="1:12" x14ac:dyDescent="0.2">
      <c r="A182" s="10">
        <v>18730</v>
      </c>
      <c r="B182" s="11">
        <v>42396</v>
      </c>
      <c r="C182" s="12">
        <v>10.83</v>
      </c>
      <c r="D182" s="12">
        <v>0.83</v>
      </c>
      <c r="E182" s="15" t="s">
        <v>21</v>
      </c>
      <c r="F182" s="21"/>
      <c r="G182" s="22"/>
      <c r="H182" s="193"/>
      <c r="I182" s="10"/>
      <c r="L182" s="77"/>
    </row>
    <row r="183" spans="1:12" x14ac:dyDescent="0.2">
      <c r="A183" s="10">
        <v>18731</v>
      </c>
      <c r="B183" s="11">
        <v>42396</v>
      </c>
      <c r="C183" s="12">
        <v>81.19</v>
      </c>
      <c r="D183" s="12">
        <v>6.19</v>
      </c>
      <c r="E183" s="15" t="s">
        <v>7</v>
      </c>
      <c r="F183" s="21"/>
      <c r="G183" s="22"/>
      <c r="H183" s="193"/>
      <c r="I183" s="10"/>
      <c r="L183" s="77"/>
    </row>
    <row r="184" spans="1:12" x14ac:dyDescent="0.2">
      <c r="A184" s="10">
        <v>18732</v>
      </c>
      <c r="B184" s="11">
        <v>42396</v>
      </c>
      <c r="C184" s="12">
        <v>42</v>
      </c>
      <c r="D184" s="12">
        <v>3.2</v>
      </c>
      <c r="E184" s="13"/>
      <c r="F184" s="18"/>
      <c r="G184" s="19"/>
      <c r="H184" s="194"/>
      <c r="I184" s="10"/>
      <c r="L184" s="77"/>
    </row>
    <row r="185" spans="1:12" x14ac:dyDescent="0.2">
      <c r="A185" s="10">
        <v>18733</v>
      </c>
      <c r="B185" s="11">
        <v>42396</v>
      </c>
      <c r="C185" s="12">
        <v>130.59</v>
      </c>
      <c r="D185" s="12"/>
      <c r="E185" s="15" t="s">
        <v>82</v>
      </c>
      <c r="H185" s="193"/>
      <c r="I185" s="10"/>
      <c r="L185" s="77"/>
    </row>
    <row r="186" spans="1:12" x14ac:dyDescent="0.2">
      <c r="A186" s="10">
        <v>18734</v>
      </c>
      <c r="B186" s="11">
        <v>42396</v>
      </c>
      <c r="C186" s="12">
        <v>140.72999999999999</v>
      </c>
      <c r="D186" s="12">
        <v>10.73</v>
      </c>
      <c r="E186" s="17"/>
      <c r="F186" s="18"/>
      <c r="G186" s="19"/>
      <c r="H186" s="194"/>
      <c r="I186" s="10"/>
      <c r="L186" s="77"/>
    </row>
    <row r="187" spans="1:12" x14ac:dyDescent="0.2">
      <c r="A187" s="10">
        <v>18735</v>
      </c>
      <c r="B187" s="11">
        <v>42396</v>
      </c>
      <c r="C187" s="12">
        <v>25.98</v>
      </c>
      <c r="D187" s="12">
        <v>1.98</v>
      </c>
      <c r="E187" s="17"/>
      <c r="H187" s="194"/>
      <c r="I187" s="10"/>
      <c r="L187" s="77"/>
    </row>
    <row r="188" spans="1:12" x14ac:dyDescent="0.2">
      <c r="A188" s="10">
        <v>18736</v>
      </c>
      <c r="B188" s="11">
        <v>42396</v>
      </c>
      <c r="C188" s="12">
        <v>15.16</v>
      </c>
      <c r="D188" s="12">
        <v>1.1599999999999999</v>
      </c>
      <c r="E188" s="17"/>
      <c r="F188" s="20">
        <f>+C176+C177+C183</f>
        <v>89.85</v>
      </c>
      <c r="G188" s="20">
        <v>87.29</v>
      </c>
      <c r="H188" s="194"/>
      <c r="I188" s="10"/>
      <c r="L188" s="77"/>
    </row>
    <row r="189" spans="1:12" x14ac:dyDescent="0.2">
      <c r="A189" s="10">
        <v>18737</v>
      </c>
      <c r="B189" s="11">
        <v>42397</v>
      </c>
      <c r="C189" s="12">
        <v>1261.45</v>
      </c>
      <c r="D189" s="12">
        <v>96.14</v>
      </c>
      <c r="E189" s="15" t="s">
        <v>533</v>
      </c>
      <c r="I189" s="10"/>
      <c r="L189" s="77"/>
    </row>
    <row r="190" spans="1:12" x14ac:dyDescent="0.2">
      <c r="A190" s="10">
        <v>18738</v>
      </c>
      <c r="B190" s="11">
        <v>42397</v>
      </c>
      <c r="C190" s="12">
        <v>23.24</v>
      </c>
      <c r="D190" s="12">
        <v>1.24</v>
      </c>
      <c r="E190" s="15" t="s">
        <v>533</v>
      </c>
      <c r="F190" s="21"/>
      <c r="G190" s="22"/>
      <c r="H190" s="193"/>
      <c r="I190" s="10"/>
      <c r="L190" s="77"/>
    </row>
    <row r="191" spans="1:12" x14ac:dyDescent="0.2">
      <c r="A191" s="10">
        <v>18739</v>
      </c>
      <c r="B191" s="11">
        <v>42397</v>
      </c>
      <c r="C191" s="12">
        <v>10</v>
      </c>
      <c r="D191" s="12">
        <v>0.76</v>
      </c>
      <c r="E191" s="17"/>
      <c r="F191" s="18"/>
      <c r="G191" s="19"/>
      <c r="H191" s="194"/>
      <c r="I191" s="10"/>
      <c r="L191" s="77"/>
    </row>
    <row r="192" spans="1:12" x14ac:dyDescent="0.2">
      <c r="A192" s="10">
        <v>18740</v>
      </c>
      <c r="B192" s="11">
        <v>42397</v>
      </c>
      <c r="C192" s="12">
        <v>96.99</v>
      </c>
      <c r="D192" s="12"/>
      <c r="E192" s="15" t="s">
        <v>82</v>
      </c>
      <c r="I192" s="10"/>
      <c r="L192" s="77"/>
    </row>
    <row r="193" spans="1:12" x14ac:dyDescent="0.2">
      <c r="A193" s="10">
        <v>18741</v>
      </c>
      <c r="B193" s="11">
        <v>42397</v>
      </c>
      <c r="C193" s="12">
        <v>14</v>
      </c>
      <c r="D193" s="12">
        <v>1.07</v>
      </c>
      <c r="E193" s="17"/>
      <c r="F193" s="18"/>
      <c r="G193" s="19"/>
      <c r="H193" s="194"/>
      <c r="I193" s="10"/>
      <c r="L193" s="77"/>
    </row>
    <row r="194" spans="1:12" x14ac:dyDescent="0.2">
      <c r="A194" s="10">
        <v>18742</v>
      </c>
      <c r="B194" s="11">
        <v>42397</v>
      </c>
      <c r="C194" s="12">
        <v>10</v>
      </c>
      <c r="D194" s="12">
        <v>0.76</v>
      </c>
      <c r="E194" s="17"/>
      <c r="F194" s="18"/>
      <c r="G194" s="19"/>
      <c r="H194" s="194"/>
      <c r="I194" s="10"/>
      <c r="L194" s="77"/>
    </row>
    <row r="195" spans="1:12" x14ac:dyDescent="0.2">
      <c r="A195" s="10">
        <v>18743</v>
      </c>
      <c r="B195" s="11">
        <v>42397</v>
      </c>
      <c r="C195" s="12">
        <v>32.479999999999997</v>
      </c>
      <c r="D195" s="12">
        <v>2.48</v>
      </c>
      <c r="E195" s="17"/>
      <c r="I195" s="10"/>
      <c r="L195" s="77"/>
    </row>
    <row r="196" spans="1:12" x14ac:dyDescent="0.2">
      <c r="A196" s="10">
        <v>18744</v>
      </c>
      <c r="B196" s="11">
        <v>42397</v>
      </c>
      <c r="C196" s="12">
        <v>90.93</v>
      </c>
      <c r="D196" s="12">
        <v>6.93</v>
      </c>
      <c r="E196" s="15"/>
      <c r="I196" s="10"/>
      <c r="L196" s="77"/>
    </row>
    <row r="197" spans="1:12" x14ac:dyDescent="0.2">
      <c r="A197" s="10">
        <v>18745</v>
      </c>
      <c r="B197" s="11">
        <v>42397</v>
      </c>
      <c r="C197" s="12">
        <v>116</v>
      </c>
      <c r="D197" s="12"/>
      <c r="E197" s="13" t="s">
        <v>281</v>
      </c>
      <c r="F197" s="18"/>
      <c r="G197" s="19"/>
      <c r="H197" s="194"/>
      <c r="I197" s="10"/>
      <c r="L197" s="77"/>
    </row>
    <row r="198" spans="1:12" x14ac:dyDescent="0.2">
      <c r="A198" s="10">
        <v>18746</v>
      </c>
      <c r="B198" s="11">
        <v>42397</v>
      </c>
      <c r="C198" s="12">
        <v>310</v>
      </c>
      <c r="D198" s="12">
        <v>23.63</v>
      </c>
      <c r="E198" s="13" t="s">
        <v>557</v>
      </c>
      <c r="I198" s="10"/>
      <c r="L198" s="77"/>
    </row>
    <row r="199" spans="1:12" x14ac:dyDescent="0.2">
      <c r="A199" s="10">
        <v>18747</v>
      </c>
      <c r="B199" s="11">
        <v>42397</v>
      </c>
      <c r="C199" s="12">
        <v>113.66</v>
      </c>
      <c r="D199" s="12">
        <v>8.66</v>
      </c>
      <c r="E199" s="15" t="s">
        <v>11</v>
      </c>
      <c r="F199" s="21"/>
      <c r="G199" s="22"/>
      <c r="H199" s="193"/>
      <c r="I199" s="10"/>
      <c r="L199" s="77"/>
    </row>
    <row r="200" spans="1:12" x14ac:dyDescent="0.2">
      <c r="A200" s="10">
        <v>18748</v>
      </c>
      <c r="B200" s="11">
        <v>42397</v>
      </c>
      <c r="C200" s="12">
        <v>21.65</v>
      </c>
      <c r="D200" s="12">
        <v>1.65</v>
      </c>
      <c r="E200" s="15" t="s">
        <v>11</v>
      </c>
      <c r="I200" s="10"/>
      <c r="L200" s="77"/>
    </row>
    <row r="201" spans="1:12" x14ac:dyDescent="0.2">
      <c r="A201" s="10">
        <v>18749</v>
      </c>
      <c r="B201" s="11">
        <v>42397</v>
      </c>
      <c r="C201" s="12">
        <v>39.800000000000004</v>
      </c>
      <c r="D201" s="12">
        <v>3.03</v>
      </c>
      <c r="E201" s="17"/>
      <c r="I201" s="10"/>
      <c r="L201" s="77"/>
    </row>
    <row r="202" spans="1:12" x14ac:dyDescent="0.2">
      <c r="A202" s="10">
        <v>18750</v>
      </c>
      <c r="B202" s="11">
        <v>42397</v>
      </c>
      <c r="C202" s="12">
        <v>51.96</v>
      </c>
      <c r="D202" s="12">
        <v>3.96</v>
      </c>
      <c r="E202" s="17"/>
      <c r="F202" s="20">
        <f>+C200+1757.29</f>
        <v>1778.94</v>
      </c>
      <c r="G202" s="20">
        <f>20.93+1738.44</f>
        <v>1759.3700000000001</v>
      </c>
      <c r="H202" s="195"/>
      <c r="I202" s="10"/>
      <c r="L202" s="77"/>
    </row>
    <row r="203" spans="1:12" x14ac:dyDescent="0.2">
      <c r="A203" s="10">
        <v>18751</v>
      </c>
      <c r="B203" s="11">
        <v>42398</v>
      </c>
      <c r="C203" s="12">
        <v>0</v>
      </c>
      <c r="D203" s="12">
        <v>0</v>
      </c>
      <c r="E203" s="17"/>
      <c r="F203" s="18"/>
      <c r="G203" s="19"/>
      <c r="H203" s="194"/>
      <c r="I203" s="10"/>
      <c r="L203" s="77"/>
    </row>
    <row r="204" spans="1:12" x14ac:dyDescent="0.2">
      <c r="A204" s="10">
        <v>18752</v>
      </c>
      <c r="B204" s="11">
        <v>42398</v>
      </c>
      <c r="C204" s="12">
        <v>46.49</v>
      </c>
      <c r="D204" s="12">
        <v>3.54</v>
      </c>
      <c r="E204" s="17"/>
      <c r="H204" s="194"/>
      <c r="I204" s="10"/>
      <c r="L204" s="77"/>
    </row>
    <row r="205" spans="1:12" x14ac:dyDescent="0.2">
      <c r="A205" s="10">
        <v>18753</v>
      </c>
      <c r="B205" s="11">
        <v>42398</v>
      </c>
      <c r="C205" s="12">
        <v>34.53</v>
      </c>
      <c r="D205" s="12">
        <v>2.63</v>
      </c>
      <c r="E205" s="17"/>
      <c r="F205" s="18"/>
      <c r="G205" s="19"/>
      <c r="H205" s="194"/>
      <c r="I205" s="10"/>
      <c r="L205" s="77"/>
    </row>
    <row r="206" spans="1:12" x14ac:dyDescent="0.2">
      <c r="A206" s="10">
        <v>18754</v>
      </c>
      <c r="B206" s="11">
        <v>42398</v>
      </c>
      <c r="C206" s="12">
        <v>85.52</v>
      </c>
      <c r="D206" s="12">
        <v>6.52</v>
      </c>
      <c r="E206" s="15" t="s">
        <v>11</v>
      </c>
      <c r="H206" s="193"/>
      <c r="I206" s="10"/>
      <c r="L206" s="77"/>
    </row>
    <row r="207" spans="1:12" x14ac:dyDescent="0.2">
      <c r="A207" s="10">
        <v>18755</v>
      </c>
      <c r="B207" s="11">
        <v>42398</v>
      </c>
      <c r="C207" s="12">
        <v>329.08</v>
      </c>
      <c r="D207" s="12">
        <v>25.08</v>
      </c>
      <c r="E207" s="15" t="s">
        <v>7</v>
      </c>
      <c r="F207" s="21"/>
      <c r="G207" s="22"/>
      <c r="H207" s="193"/>
      <c r="I207" s="10"/>
      <c r="L207" s="77"/>
    </row>
    <row r="208" spans="1:12" x14ac:dyDescent="0.2">
      <c r="A208" s="10">
        <v>18756</v>
      </c>
      <c r="B208" s="11">
        <v>42398</v>
      </c>
      <c r="C208" s="12">
        <v>21.599999999999998</v>
      </c>
      <c r="D208" s="12">
        <v>1.65</v>
      </c>
      <c r="E208" s="15" t="s">
        <v>7</v>
      </c>
      <c r="H208" s="193"/>
      <c r="I208" s="10"/>
      <c r="L208" s="77"/>
    </row>
    <row r="209" spans="1:12" x14ac:dyDescent="0.2">
      <c r="A209" s="10">
        <v>18757</v>
      </c>
      <c r="B209" s="11">
        <v>42398</v>
      </c>
      <c r="C209" s="12">
        <v>3.8</v>
      </c>
      <c r="D209" s="12">
        <v>0.28999999999999998</v>
      </c>
      <c r="E209" s="17"/>
      <c r="F209" s="18"/>
      <c r="G209" s="19"/>
      <c r="H209" s="194"/>
      <c r="I209" s="10"/>
      <c r="L209" s="77"/>
    </row>
    <row r="210" spans="1:12" x14ac:dyDescent="0.2">
      <c r="A210" s="10">
        <v>18758</v>
      </c>
      <c r="B210" s="11">
        <v>42398</v>
      </c>
      <c r="C210" s="12">
        <v>107.17</v>
      </c>
      <c r="D210" s="12">
        <v>8.17</v>
      </c>
      <c r="E210" s="15" t="s">
        <v>11</v>
      </c>
      <c r="I210" s="10"/>
      <c r="L210" s="77"/>
    </row>
    <row r="211" spans="1:12" x14ac:dyDescent="0.2">
      <c r="A211" s="10">
        <v>18759</v>
      </c>
      <c r="B211" s="11">
        <v>42398</v>
      </c>
      <c r="C211" s="12">
        <v>66.03</v>
      </c>
      <c r="D211" s="12">
        <v>5.03</v>
      </c>
      <c r="E211" s="15" t="s">
        <v>7</v>
      </c>
      <c r="I211" s="10"/>
      <c r="L211" s="77"/>
    </row>
    <row r="212" spans="1:12" x14ac:dyDescent="0.2">
      <c r="A212" s="10">
        <v>18760</v>
      </c>
      <c r="B212" s="11">
        <v>42398</v>
      </c>
      <c r="C212" s="12">
        <v>33.989999999999995</v>
      </c>
      <c r="D212" s="12">
        <v>2.59</v>
      </c>
      <c r="E212" s="15" t="s">
        <v>558</v>
      </c>
      <c r="I212" s="10"/>
      <c r="L212" s="77"/>
    </row>
    <row r="213" spans="1:12" x14ac:dyDescent="0.2">
      <c r="A213" s="10">
        <v>18761</v>
      </c>
      <c r="B213" s="11">
        <v>42398</v>
      </c>
      <c r="C213" s="12">
        <v>14.8</v>
      </c>
      <c r="D213" s="12"/>
      <c r="E213" s="15" t="s">
        <v>16</v>
      </c>
      <c r="I213" s="10"/>
      <c r="L213" s="77"/>
    </row>
    <row r="214" spans="1:12" x14ac:dyDescent="0.2">
      <c r="A214" s="10">
        <v>18762</v>
      </c>
      <c r="B214" s="11">
        <v>42398</v>
      </c>
      <c r="C214" s="12">
        <v>139.63999999999999</v>
      </c>
      <c r="D214" s="12">
        <v>10.64</v>
      </c>
      <c r="E214" s="15" t="s">
        <v>559</v>
      </c>
      <c r="I214" s="10"/>
      <c r="L214" s="77"/>
    </row>
    <row r="215" spans="1:12" x14ac:dyDescent="0.2">
      <c r="A215" s="10">
        <v>18763</v>
      </c>
      <c r="B215" s="11">
        <v>42398</v>
      </c>
      <c r="C215" s="12">
        <v>67.610000000000014</v>
      </c>
      <c r="D215" s="12">
        <v>5.15</v>
      </c>
      <c r="E215" s="15" t="s">
        <v>533</v>
      </c>
      <c r="I215" s="10"/>
      <c r="L215" s="77"/>
    </row>
    <row r="216" spans="1:12" x14ac:dyDescent="0.2">
      <c r="A216" s="10">
        <v>18764</v>
      </c>
      <c r="B216" s="11">
        <v>42399</v>
      </c>
      <c r="C216" s="12">
        <v>129.9</v>
      </c>
      <c r="D216" s="12">
        <v>9.9</v>
      </c>
      <c r="E216" s="23"/>
      <c r="F216" s="20">
        <f>+C206+129.08+C208+C210+C211+C199+423.88</f>
        <v>946.93999999999994</v>
      </c>
      <c r="G216" s="20">
        <f>516.41+412.22</f>
        <v>928.63</v>
      </c>
      <c r="H216" s="195"/>
      <c r="I216" s="10"/>
      <c r="L216" s="77"/>
    </row>
    <row r="217" spans="1:12" x14ac:dyDescent="0.2">
      <c r="A217" s="10">
        <v>18765</v>
      </c>
      <c r="B217" s="11">
        <v>42399</v>
      </c>
      <c r="C217" s="12">
        <v>74.69</v>
      </c>
      <c r="D217" s="12">
        <v>5.69</v>
      </c>
      <c r="E217" s="17"/>
      <c r="F217" s="18"/>
      <c r="G217" s="19"/>
      <c r="H217" s="194"/>
      <c r="I217" s="10"/>
      <c r="L217" s="77"/>
    </row>
    <row r="218" spans="1:12" x14ac:dyDescent="0.2">
      <c r="A218" s="10">
        <v>18766</v>
      </c>
      <c r="B218" s="11">
        <v>42399</v>
      </c>
      <c r="C218" s="12">
        <v>5.36</v>
      </c>
      <c r="D218" s="12">
        <v>0.41</v>
      </c>
      <c r="E218" s="17"/>
      <c r="F218" s="18"/>
      <c r="G218" s="19"/>
      <c r="H218" s="194"/>
      <c r="I218" s="10"/>
      <c r="L218" s="77"/>
    </row>
    <row r="219" spans="1:12" x14ac:dyDescent="0.2">
      <c r="A219" s="10">
        <v>18767</v>
      </c>
      <c r="B219" s="11">
        <v>42399</v>
      </c>
      <c r="C219" s="12">
        <v>20</v>
      </c>
      <c r="D219" s="12">
        <v>1.52</v>
      </c>
      <c r="E219" s="17"/>
      <c r="F219" s="18"/>
      <c r="G219" s="19"/>
      <c r="H219" s="194"/>
      <c r="I219" s="10"/>
      <c r="L219" s="77"/>
    </row>
    <row r="220" spans="1:12" x14ac:dyDescent="0.2">
      <c r="A220" s="10">
        <v>18768</v>
      </c>
      <c r="B220" s="11">
        <v>42399</v>
      </c>
      <c r="C220" s="12">
        <v>40.489999999999995</v>
      </c>
      <c r="D220" s="12">
        <v>3.09</v>
      </c>
      <c r="E220" s="15" t="s">
        <v>7</v>
      </c>
      <c r="F220" s="21"/>
      <c r="G220" s="22"/>
      <c r="H220" s="193"/>
      <c r="I220" s="10"/>
      <c r="L220" s="77"/>
    </row>
    <row r="221" spans="1:12" x14ac:dyDescent="0.2">
      <c r="A221" s="10">
        <v>18769</v>
      </c>
      <c r="B221" s="11">
        <v>42399</v>
      </c>
      <c r="C221" s="12">
        <v>8.66</v>
      </c>
      <c r="D221" s="12">
        <v>0.66</v>
      </c>
      <c r="E221" s="15" t="s">
        <v>11</v>
      </c>
      <c r="F221" s="21"/>
      <c r="G221" s="22"/>
      <c r="H221" s="193"/>
      <c r="I221" s="10"/>
      <c r="L221" s="77"/>
    </row>
    <row r="222" spans="1:12" x14ac:dyDescent="0.2">
      <c r="A222" s="10">
        <v>18770</v>
      </c>
      <c r="B222" s="11">
        <v>42399</v>
      </c>
      <c r="C222" s="12">
        <v>21.11</v>
      </c>
      <c r="D222" s="12">
        <v>1.61</v>
      </c>
      <c r="E222" s="15" t="s">
        <v>11</v>
      </c>
      <c r="H222" s="194"/>
      <c r="I222" s="10"/>
      <c r="L222" s="77"/>
    </row>
    <row r="223" spans="1:12" x14ac:dyDescent="0.2">
      <c r="A223" s="10">
        <v>18771</v>
      </c>
      <c r="B223" s="11">
        <v>42399</v>
      </c>
      <c r="C223" s="12">
        <v>85.52</v>
      </c>
      <c r="D223" s="12">
        <v>6.52</v>
      </c>
      <c r="E223" s="15" t="s">
        <v>13</v>
      </c>
      <c r="H223" s="193"/>
      <c r="I223" s="10"/>
      <c r="L223" s="77"/>
    </row>
    <row r="224" spans="1:12" x14ac:dyDescent="0.2">
      <c r="A224" s="10">
        <v>18772</v>
      </c>
      <c r="B224" s="11">
        <v>42399</v>
      </c>
      <c r="C224" s="12">
        <v>0</v>
      </c>
      <c r="D224" s="12">
        <v>0</v>
      </c>
      <c r="E224" s="17"/>
      <c r="H224" s="194"/>
      <c r="I224" s="10"/>
      <c r="L224" s="77"/>
    </row>
    <row r="225" spans="1:12" x14ac:dyDescent="0.2">
      <c r="A225" s="10">
        <v>18773</v>
      </c>
      <c r="B225" s="11">
        <v>42399</v>
      </c>
      <c r="C225" s="12">
        <v>32.479999999999997</v>
      </c>
      <c r="D225" s="12">
        <v>2.48</v>
      </c>
      <c r="E225" s="17"/>
      <c r="F225" s="18"/>
      <c r="G225" s="19"/>
      <c r="H225" s="194"/>
      <c r="I225" s="10"/>
      <c r="L225" s="77"/>
    </row>
    <row r="226" spans="1:12" x14ac:dyDescent="0.2">
      <c r="A226" s="10">
        <v>18774</v>
      </c>
      <c r="B226" s="11">
        <v>42399</v>
      </c>
      <c r="C226" s="12">
        <v>76.86</v>
      </c>
      <c r="D226" s="12">
        <v>5.86</v>
      </c>
      <c r="E226" s="15" t="s">
        <v>7</v>
      </c>
      <c r="F226" s="21"/>
      <c r="G226" s="22"/>
      <c r="H226" s="193"/>
      <c r="I226" s="10"/>
      <c r="L226" s="77"/>
    </row>
    <row r="227" spans="1:12" x14ac:dyDescent="0.2">
      <c r="A227" s="10">
        <v>18775</v>
      </c>
      <c r="B227" s="11">
        <v>42399</v>
      </c>
      <c r="C227" s="12">
        <v>74.69</v>
      </c>
      <c r="D227" s="12">
        <v>5.69</v>
      </c>
      <c r="E227" s="17"/>
      <c r="H227" s="194"/>
      <c r="I227" s="10"/>
      <c r="L227" s="77"/>
    </row>
    <row r="228" spans="1:12" x14ac:dyDescent="0.2">
      <c r="A228" s="10">
        <v>18776</v>
      </c>
      <c r="B228" s="11">
        <v>42399</v>
      </c>
      <c r="C228" s="12">
        <v>166.71</v>
      </c>
      <c r="D228" s="12">
        <v>12.71</v>
      </c>
      <c r="E228" s="15" t="s">
        <v>11</v>
      </c>
      <c r="F228" s="21"/>
      <c r="G228" s="22"/>
      <c r="H228" s="193"/>
      <c r="I228" s="10"/>
      <c r="L228" s="77"/>
    </row>
    <row r="229" spans="1:12" x14ac:dyDescent="0.2">
      <c r="A229" s="10">
        <v>18777</v>
      </c>
      <c r="B229" s="11">
        <v>42399</v>
      </c>
      <c r="C229" s="12">
        <v>439.5</v>
      </c>
      <c r="D229" s="12">
        <v>33.5</v>
      </c>
      <c r="E229" s="13" t="s">
        <v>560</v>
      </c>
      <c r="F229" s="18"/>
      <c r="G229" s="19"/>
      <c r="H229" s="194"/>
      <c r="I229" s="10"/>
      <c r="L229" s="77"/>
    </row>
    <row r="230" spans="1:12" x14ac:dyDescent="0.2">
      <c r="A230" s="10">
        <v>18778</v>
      </c>
      <c r="B230" s="11">
        <v>42399</v>
      </c>
      <c r="C230" s="12">
        <v>250.6</v>
      </c>
      <c r="D230" s="12">
        <v>19.100000000000001</v>
      </c>
      <c r="E230" s="15" t="s">
        <v>533</v>
      </c>
      <c r="I230" s="10"/>
      <c r="L230" s="77"/>
    </row>
    <row r="231" spans="1:12" x14ac:dyDescent="0.2">
      <c r="A231" s="10">
        <v>18779</v>
      </c>
      <c r="B231" s="11">
        <v>42399</v>
      </c>
      <c r="C231" s="12">
        <v>8.66</v>
      </c>
      <c r="D231" s="12">
        <v>0.66</v>
      </c>
      <c r="E231" s="15" t="s">
        <v>11</v>
      </c>
      <c r="I231" s="10"/>
      <c r="L231" s="77"/>
    </row>
    <row r="232" spans="1:12" x14ac:dyDescent="0.2">
      <c r="A232" s="10">
        <v>18780</v>
      </c>
      <c r="B232" s="11">
        <v>42399</v>
      </c>
      <c r="C232" s="12">
        <v>64.95</v>
      </c>
      <c r="D232" s="12">
        <v>4.95</v>
      </c>
      <c r="E232" s="15" t="s">
        <v>7</v>
      </c>
      <c r="F232" s="20">
        <f>C169+C220+C221+C222+C223+C226+C228+C231+C232+250.6</f>
        <v>863.2</v>
      </c>
      <c r="G232" s="20">
        <f>603.87+243.71</f>
        <v>847.58</v>
      </c>
      <c r="H232" s="195"/>
      <c r="I232" s="10"/>
      <c r="L232" s="77"/>
    </row>
    <row r="233" spans="1:12" x14ac:dyDescent="0.2">
      <c r="A233" s="10"/>
      <c r="E233" s="26"/>
      <c r="F233" s="46"/>
      <c r="G233" s="77"/>
      <c r="H233" s="191"/>
      <c r="I233" s="184"/>
      <c r="J233" s="184"/>
      <c r="K233" s="184"/>
      <c r="L233" s="184"/>
    </row>
    <row r="234" spans="1:12" x14ac:dyDescent="0.2">
      <c r="E234" s="26"/>
      <c r="G234" s="77"/>
      <c r="H234" s="191"/>
      <c r="I234" s="197">
        <f ca="1">H1-WEEKDAY(H1,3)-7</f>
        <v>43171</v>
      </c>
      <c r="J234" s="198" t="e">
        <f t="shared" ref="J234:J247" ca="1" si="0">SUMIF(INDIRECT(TEXT(I234,"'mmm-yy'")&amp;"!B3:B400"),I234,INDIRECT(TEXT(I234,"'mmm-yy'")&amp;"!C3:C400"))</f>
        <v>#REF!</v>
      </c>
      <c r="K234" s="184"/>
      <c r="L234" s="184"/>
    </row>
    <row r="235" spans="1:12" x14ac:dyDescent="0.2">
      <c r="E235" s="26"/>
      <c r="G235" s="77"/>
      <c r="H235" s="191"/>
      <c r="I235" s="197">
        <f t="shared" ref="I235:I247" ca="1" si="1">I234+1</f>
        <v>43172</v>
      </c>
      <c r="J235" s="198" t="e">
        <f t="shared" ca="1" si="0"/>
        <v>#REF!</v>
      </c>
      <c r="K235" s="184"/>
      <c r="L235" s="184"/>
    </row>
    <row r="236" spans="1:12" x14ac:dyDescent="0.2">
      <c r="E236" s="26"/>
      <c r="G236" s="77"/>
      <c r="H236" s="191"/>
      <c r="I236" s="197">
        <f t="shared" ca="1" si="1"/>
        <v>43173</v>
      </c>
      <c r="J236" s="198" t="e">
        <f t="shared" ca="1" si="0"/>
        <v>#REF!</v>
      </c>
      <c r="K236" s="184"/>
      <c r="L236" s="184"/>
    </row>
    <row r="237" spans="1:12" x14ac:dyDescent="0.2">
      <c r="E237" s="26"/>
      <c r="G237" s="77"/>
      <c r="H237" s="191"/>
      <c r="I237" s="197">
        <f t="shared" ca="1" si="1"/>
        <v>43174</v>
      </c>
      <c r="J237" s="198" t="e">
        <f t="shared" ca="1" si="0"/>
        <v>#REF!</v>
      </c>
      <c r="K237" s="184"/>
      <c r="L237" s="184"/>
    </row>
    <row r="238" spans="1:12" x14ac:dyDescent="0.2">
      <c r="E238" s="26"/>
      <c r="G238" s="77"/>
      <c r="H238" s="191"/>
      <c r="I238" s="197">
        <f t="shared" ca="1" si="1"/>
        <v>43175</v>
      </c>
      <c r="J238" s="198" t="e">
        <f t="shared" ca="1" si="0"/>
        <v>#REF!</v>
      </c>
      <c r="K238" s="184"/>
      <c r="L238" s="184"/>
    </row>
    <row r="239" spans="1:12" x14ac:dyDescent="0.2">
      <c r="E239" s="26"/>
      <c r="G239" s="77"/>
      <c r="H239" s="199"/>
      <c r="I239" s="197">
        <f t="shared" ca="1" si="1"/>
        <v>43176</v>
      </c>
      <c r="J239" s="198" t="e">
        <f t="shared" ca="1" si="0"/>
        <v>#REF!</v>
      </c>
      <c r="K239" s="184"/>
      <c r="L239" s="184"/>
    </row>
    <row r="240" spans="1:12" x14ac:dyDescent="0.2">
      <c r="E240" s="26"/>
      <c r="G240" s="77"/>
      <c r="H240" s="199"/>
      <c r="I240" s="197">
        <f t="shared" ca="1" si="1"/>
        <v>43177</v>
      </c>
      <c r="J240" s="198" t="e">
        <f t="shared" ca="1" si="0"/>
        <v>#REF!</v>
      </c>
      <c r="K240" s="198" t="e">
        <f ca="1">SUM(J234:J240)</f>
        <v>#REF!</v>
      </c>
      <c r="L240" s="184"/>
    </row>
    <row r="241" spans="5:12" x14ac:dyDescent="0.2">
      <c r="E241" s="26"/>
      <c r="G241" s="77"/>
      <c r="H241" s="199"/>
      <c r="I241" s="197">
        <f t="shared" ca="1" si="1"/>
        <v>43178</v>
      </c>
      <c r="J241" s="198" t="e">
        <f t="shared" ca="1" si="0"/>
        <v>#REF!</v>
      </c>
      <c r="K241" s="198"/>
      <c r="L241" s="184"/>
    </row>
    <row r="242" spans="5:12" x14ac:dyDescent="0.2">
      <c r="E242" s="26"/>
      <c r="G242" s="77"/>
      <c r="H242" s="199"/>
      <c r="I242" s="197">
        <f t="shared" ca="1" si="1"/>
        <v>43179</v>
      </c>
      <c r="J242" s="198" t="e">
        <f t="shared" ca="1" si="0"/>
        <v>#REF!</v>
      </c>
      <c r="K242" s="198"/>
      <c r="L242" s="184"/>
    </row>
    <row r="243" spans="5:12" x14ac:dyDescent="0.2">
      <c r="E243" s="26"/>
      <c r="G243" s="77"/>
      <c r="H243" s="199"/>
      <c r="I243" s="197">
        <f t="shared" ca="1" si="1"/>
        <v>43180</v>
      </c>
      <c r="J243" s="198" t="e">
        <f t="shared" ca="1" si="0"/>
        <v>#REF!</v>
      </c>
      <c r="K243" s="198"/>
      <c r="L243" s="184"/>
    </row>
    <row r="244" spans="5:12" x14ac:dyDescent="0.2">
      <c r="E244" s="26"/>
      <c r="G244" s="77"/>
      <c r="H244" s="199"/>
      <c r="I244" s="197">
        <f t="shared" ca="1" si="1"/>
        <v>43181</v>
      </c>
      <c r="J244" s="198" t="e">
        <f t="shared" ca="1" si="0"/>
        <v>#REF!</v>
      </c>
      <c r="K244" s="198"/>
      <c r="L244" s="184"/>
    </row>
    <row r="245" spans="5:12" x14ac:dyDescent="0.2">
      <c r="E245" s="26"/>
      <c r="G245" s="77"/>
      <c r="H245" s="199"/>
      <c r="I245" s="197">
        <f t="shared" ca="1" si="1"/>
        <v>43182</v>
      </c>
      <c r="J245" s="198" t="e">
        <f t="shared" ca="1" si="0"/>
        <v>#REF!</v>
      </c>
      <c r="K245" s="198"/>
      <c r="L245" s="184"/>
    </row>
    <row r="246" spans="5:12" x14ac:dyDescent="0.2">
      <c r="E246" s="26"/>
      <c r="G246" s="77"/>
      <c r="H246" s="199"/>
      <c r="I246" s="197">
        <f t="shared" ca="1" si="1"/>
        <v>43183</v>
      </c>
      <c r="J246" s="198" t="e">
        <f t="shared" ca="1" si="0"/>
        <v>#REF!</v>
      </c>
      <c r="K246" s="198"/>
      <c r="L246" s="184"/>
    </row>
    <row r="247" spans="5:12" x14ac:dyDescent="0.2">
      <c r="E247" s="26"/>
      <c r="G247" s="77"/>
      <c r="H247" s="199"/>
      <c r="I247" s="197">
        <f t="shared" ca="1" si="1"/>
        <v>43184</v>
      </c>
      <c r="J247" s="198" t="e">
        <f t="shared" ca="1" si="0"/>
        <v>#REF!</v>
      </c>
      <c r="K247" s="198" t="e">
        <f ca="1">SUM(J241:J247)</f>
        <v>#REF!</v>
      </c>
      <c r="L247" s="184"/>
    </row>
    <row r="248" spans="5:12" x14ac:dyDescent="0.2">
      <c r="E248" s="26"/>
      <c r="G248" s="77"/>
      <c r="H248" s="199"/>
      <c r="I248" s="184"/>
      <c r="J248" s="184"/>
      <c r="K248" s="184"/>
      <c r="L248" s="184"/>
    </row>
    <row r="249" spans="5:12" x14ac:dyDescent="0.2">
      <c r="E249" s="26"/>
      <c r="G249" s="77"/>
      <c r="H249" s="199"/>
      <c r="I249" s="184"/>
      <c r="J249" s="184"/>
      <c r="K249" s="184"/>
      <c r="L249" s="184"/>
    </row>
    <row r="250" spans="5:12" x14ac:dyDescent="0.2">
      <c r="E250" s="26"/>
      <c r="G250" s="77"/>
      <c r="H250" s="199"/>
      <c r="I250" s="184"/>
      <c r="J250" s="184"/>
      <c r="K250" s="184"/>
      <c r="L250" s="184"/>
    </row>
    <row r="251" spans="5:12" x14ac:dyDescent="0.2">
      <c r="E251" s="26"/>
      <c r="G251" s="77"/>
      <c r="H251" s="199"/>
      <c r="I251" s="184"/>
      <c r="J251" s="184"/>
      <c r="K251" s="184"/>
      <c r="L251" s="184"/>
    </row>
    <row r="252" spans="5:12" x14ac:dyDescent="0.2">
      <c r="E252" s="26"/>
      <c r="G252" s="77"/>
      <c r="H252" s="199"/>
      <c r="I252" s="184"/>
      <c r="J252" s="184"/>
      <c r="K252" s="184"/>
      <c r="L252" s="184"/>
    </row>
    <row r="253" spans="5:12" x14ac:dyDescent="0.2">
      <c r="E253" s="26"/>
      <c r="G253" s="77"/>
      <c r="H253" s="85"/>
      <c r="I253" s="77"/>
      <c r="J253" s="77"/>
      <c r="K253" s="77"/>
      <c r="L253" s="77"/>
    </row>
    <row r="254" spans="5:12" x14ac:dyDescent="0.2">
      <c r="E254" s="26"/>
      <c r="G254" s="77"/>
      <c r="H254" s="85"/>
      <c r="I254" s="77"/>
      <c r="J254" s="77"/>
      <c r="K254" s="77"/>
      <c r="L254" s="77"/>
    </row>
    <row r="255" spans="5:12" x14ac:dyDescent="0.2">
      <c r="E255" s="26"/>
      <c r="G255" s="77"/>
      <c r="H255" s="85"/>
      <c r="I255" s="77"/>
      <c r="J255" s="77"/>
      <c r="K255" s="77"/>
      <c r="L255" s="77"/>
    </row>
    <row r="256" spans="5:12" x14ac:dyDescent="0.2">
      <c r="E256" s="26"/>
    </row>
    <row r="257" spans="2:8" x14ac:dyDescent="0.2">
      <c r="E257" s="26"/>
    </row>
    <row r="258" spans="2:8" x14ac:dyDescent="0.2">
      <c r="E258" s="26"/>
    </row>
    <row r="259" spans="2:8" x14ac:dyDescent="0.2">
      <c r="E259" s="26"/>
    </row>
    <row r="260" spans="2:8" x14ac:dyDescent="0.2">
      <c r="E260" s="26"/>
    </row>
    <row r="261" spans="2:8" x14ac:dyDescent="0.2">
      <c r="E261" s="26"/>
    </row>
    <row r="262" spans="2:8" x14ac:dyDescent="0.2">
      <c r="E262" s="26"/>
    </row>
    <row r="263" spans="2:8" x14ac:dyDescent="0.2">
      <c r="E263" s="26"/>
    </row>
    <row r="264" spans="2:8" s="29" customFormat="1" x14ac:dyDescent="0.2">
      <c r="B264" s="30"/>
      <c r="C264" s="31"/>
      <c r="E264" s="32"/>
      <c r="H264" s="31"/>
    </row>
    <row r="265" spans="2:8" s="29" customFormat="1" x14ac:dyDescent="0.2">
      <c r="B265" s="30"/>
      <c r="C265" s="31"/>
      <c r="E265" s="32"/>
      <c r="H265" s="31"/>
    </row>
    <row r="266" spans="2:8" x14ac:dyDescent="0.2">
      <c r="E266" s="26"/>
    </row>
    <row r="267" spans="2:8" x14ac:dyDescent="0.2">
      <c r="E267" s="26"/>
    </row>
    <row r="268" spans="2:8" x14ac:dyDescent="0.2">
      <c r="E268" s="26"/>
    </row>
    <row r="269" spans="2:8" x14ac:dyDescent="0.2">
      <c r="E269" s="26"/>
    </row>
    <row r="270" spans="2:8" x14ac:dyDescent="0.2">
      <c r="E270" s="26"/>
    </row>
    <row r="271" spans="2:8" x14ac:dyDescent="0.2">
      <c r="E271" s="26"/>
    </row>
    <row r="272" spans="2:8" x14ac:dyDescent="0.2">
      <c r="E272" s="26"/>
    </row>
    <row r="273" spans="5:5" x14ac:dyDescent="0.2">
      <c r="E273" s="26"/>
    </row>
    <row r="274" spans="5:5" x14ac:dyDescent="0.2">
      <c r="E274" s="26"/>
    </row>
    <row r="275" spans="5:5" x14ac:dyDescent="0.2">
      <c r="E275" s="26"/>
    </row>
    <row r="276" spans="5:5" x14ac:dyDescent="0.2">
      <c r="E276" s="26"/>
    </row>
    <row r="277" spans="5:5" x14ac:dyDescent="0.2">
      <c r="E277" s="26"/>
    </row>
    <row r="278" spans="5:5" x14ac:dyDescent="0.2">
      <c r="E278" s="26"/>
    </row>
    <row r="279" spans="5:5" x14ac:dyDescent="0.2">
      <c r="E279" s="26"/>
    </row>
    <row r="280" spans="5:5" x14ac:dyDescent="0.2">
      <c r="E280" s="26"/>
    </row>
    <row r="281" spans="5:5" x14ac:dyDescent="0.2">
      <c r="E281" s="26"/>
    </row>
    <row r="282" spans="5:5" x14ac:dyDescent="0.2">
      <c r="E282" s="26"/>
    </row>
    <row r="283" spans="5:5" x14ac:dyDescent="0.2">
      <c r="E283" s="26"/>
    </row>
    <row r="284" spans="5:5" x14ac:dyDescent="0.2">
      <c r="E284" s="26"/>
    </row>
    <row r="285" spans="5:5" x14ac:dyDescent="0.2">
      <c r="E285" s="26"/>
    </row>
    <row r="286" spans="5:5" x14ac:dyDescent="0.2">
      <c r="E286" s="26"/>
    </row>
    <row r="287" spans="5:5" x14ac:dyDescent="0.2">
      <c r="E287" s="26"/>
    </row>
    <row r="288" spans="5:5" x14ac:dyDescent="0.2">
      <c r="E288" s="26"/>
    </row>
    <row r="289" spans="5:5" x14ac:dyDescent="0.2">
      <c r="E289" s="26"/>
    </row>
    <row r="290" spans="5:5" x14ac:dyDescent="0.2">
      <c r="E290" s="26"/>
    </row>
    <row r="291" spans="5:5" x14ac:dyDescent="0.2">
      <c r="E291" s="26"/>
    </row>
    <row r="292" spans="5:5" x14ac:dyDescent="0.2">
      <c r="E292" s="26"/>
    </row>
    <row r="293" spans="5:5" x14ac:dyDescent="0.2">
      <c r="E293" s="26"/>
    </row>
    <row r="294" spans="5:5" x14ac:dyDescent="0.2">
      <c r="E294" s="26"/>
    </row>
    <row r="295" spans="5:5" x14ac:dyDescent="0.2">
      <c r="E295" s="26"/>
    </row>
    <row r="296" spans="5:5" x14ac:dyDescent="0.2">
      <c r="E296" s="26"/>
    </row>
    <row r="297" spans="5:5" x14ac:dyDescent="0.2">
      <c r="E297" s="26"/>
    </row>
    <row r="298" spans="5:5" x14ac:dyDescent="0.2">
      <c r="E298" s="26"/>
    </row>
    <row r="299" spans="5:5" x14ac:dyDescent="0.2">
      <c r="E299" s="26"/>
    </row>
    <row r="300" spans="5:5" x14ac:dyDescent="0.2">
      <c r="E300" s="26"/>
    </row>
    <row r="301" spans="5:5" x14ac:dyDescent="0.2">
      <c r="E301" s="26"/>
    </row>
    <row r="302" spans="5:5" x14ac:dyDescent="0.2">
      <c r="E302" s="26"/>
    </row>
    <row r="303" spans="5:5" x14ac:dyDescent="0.2">
      <c r="E303" s="26"/>
    </row>
    <row r="304" spans="5:5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345"/>
  <sheetViews>
    <sheetView topLeftCell="A306" workbookViewId="0">
      <selection activeCell="A354" sqref="A354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s="176" customFormat="1" x14ac:dyDescent="0.2">
      <c r="A1" s="160" t="s">
        <v>0</v>
      </c>
      <c r="B1" s="175"/>
      <c r="C1" s="3">
        <f>SUM(C3:C527)</f>
        <v>44639.17572500003</v>
      </c>
      <c r="D1" s="3">
        <f>SUM(D3:D527)</f>
        <v>2666.6057250000017</v>
      </c>
      <c r="F1" s="166">
        <f>SUM(F3:F1500)</f>
        <v>20644.27</v>
      </c>
      <c r="G1" s="166">
        <f>SUM(G3:G1500)</f>
        <v>20306.944312499996</v>
      </c>
      <c r="H1" s="177">
        <f ca="1">TODAY()</f>
        <v>43182</v>
      </c>
      <c r="I1" s="177"/>
      <c r="J1" s="177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18781</v>
      </c>
      <c r="B3" s="11">
        <v>42401</v>
      </c>
      <c r="C3" s="12">
        <v>362.64</v>
      </c>
      <c r="D3" s="12">
        <v>27.64</v>
      </c>
      <c r="E3" s="15" t="s">
        <v>533</v>
      </c>
      <c r="F3" s="10"/>
      <c r="G3" s="10"/>
      <c r="H3" s="10"/>
      <c r="I3" s="10"/>
    </row>
    <row r="4" spans="1:10" x14ac:dyDescent="0.2">
      <c r="A4" s="10">
        <v>18782</v>
      </c>
      <c r="B4" s="11">
        <v>42401</v>
      </c>
      <c r="C4" s="12">
        <v>268.45999999999998</v>
      </c>
      <c r="D4" s="12">
        <v>20.46</v>
      </c>
      <c r="E4" s="15" t="s">
        <v>11</v>
      </c>
      <c r="F4" s="10"/>
      <c r="G4" s="10"/>
      <c r="H4" s="10"/>
      <c r="I4" s="10"/>
    </row>
    <row r="5" spans="1:10" x14ac:dyDescent="0.2">
      <c r="A5" s="10">
        <v>18783</v>
      </c>
      <c r="B5" s="11">
        <v>42401</v>
      </c>
      <c r="C5" s="12">
        <v>84.44</v>
      </c>
      <c r="D5" s="12">
        <v>6.44</v>
      </c>
      <c r="E5" s="15" t="s">
        <v>133</v>
      </c>
      <c r="I5" s="10"/>
    </row>
    <row r="6" spans="1:10" x14ac:dyDescent="0.2">
      <c r="A6" s="10">
        <v>18784</v>
      </c>
      <c r="B6" s="11">
        <v>42401</v>
      </c>
      <c r="C6" s="12">
        <v>236.53</v>
      </c>
      <c r="D6" s="12">
        <v>18.03</v>
      </c>
      <c r="E6" s="15" t="s">
        <v>561</v>
      </c>
      <c r="F6" s="21"/>
      <c r="G6" s="22"/>
      <c r="H6" s="193"/>
      <c r="I6" s="10"/>
    </row>
    <row r="7" spans="1:10" x14ac:dyDescent="0.2">
      <c r="A7" s="10">
        <v>18785</v>
      </c>
      <c r="B7" s="11">
        <v>42401</v>
      </c>
      <c r="C7" s="12">
        <v>31.39</v>
      </c>
      <c r="D7" s="12">
        <v>2.39</v>
      </c>
      <c r="E7" s="15" t="s">
        <v>11</v>
      </c>
      <c r="F7" s="21"/>
      <c r="G7" s="22"/>
      <c r="H7" s="193"/>
      <c r="I7" s="10"/>
    </row>
    <row r="8" spans="1:10" x14ac:dyDescent="0.2">
      <c r="A8" s="10">
        <v>18786</v>
      </c>
      <c r="B8" s="11">
        <v>42401</v>
      </c>
      <c r="C8" s="12">
        <v>54.13</v>
      </c>
      <c r="D8" s="12">
        <v>4.13</v>
      </c>
      <c r="E8" s="15" t="s">
        <v>11</v>
      </c>
      <c r="I8" s="10"/>
    </row>
    <row r="9" spans="1:10" x14ac:dyDescent="0.2">
      <c r="A9" s="10">
        <v>18787</v>
      </c>
      <c r="B9" s="11">
        <v>42401</v>
      </c>
      <c r="C9" s="12">
        <v>38.86</v>
      </c>
      <c r="D9" s="12">
        <v>2.96</v>
      </c>
      <c r="E9" s="17"/>
      <c r="F9" s="18"/>
      <c r="G9" s="19"/>
      <c r="H9" s="194"/>
      <c r="I9" s="10"/>
    </row>
    <row r="10" spans="1:10" x14ac:dyDescent="0.2">
      <c r="A10" s="10">
        <v>18788</v>
      </c>
      <c r="B10" s="11">
        <v>42401</v>
      </c>
      <c r="C10" s="12">
        <v>101</v>
      </c>
      <c r="D10" s="12"/>
      <c r="E10" s="13" t="s">
        <v>77</v>
      </c>
      <c r="F10" s="18"/>
      <c r="G10" s="19"/>
      <c r="H10" s="194"/>
      <c r="I10" s="10"/>
    </row>
    <row r="11" spans="1:10" x14ac:dyDescent="0.2">
      <c r="A11" s="10">
        <v>18789</v>
      </c>
      <c r="B11" s="11">
        <v>42401</v>
      </c>
      <c r="C11" s="12">
        <v>156.41999999999999</v>
      </c>
      <c r="D11" s="12">
        <v>11.92</v>
      </c>
      <c r="E11" s="15"/>
      <c r="I11" s="10"/>
    </row>
    <row r="12" spans="1:10" x14ac:dyDescent="0.2">
      <c r="A12" s="10">
        <v>18790</v>
      </c>
      <c r="B12" s="11">
        <v>42401</v>
      </c>
      <c r="C12" s="12">
        <v>163</v>
      </c>
      <c r="D12" s="12">
        <v>12.42</v>
      </c>
      <c r="E12" s="17"/>
      <c r="I12" s="10"/>
    </row>
    <row r="13" spans="1:10" x14ac:dyDescent="0.2">
      <c r="A13" s="10">
        <v>18791</v>
      </c>
      <c r="B13" s="11">
        <v>42401</v>
      </c>
      <c r="C13" s="12">
        <v>30.09</v>
      </c>
      <c r="D13" s="12">
        <v>2.29</v>
      </c>
      <c r="E13" s="17"/>
      <c r="I13" s="10"/>
    </row>
    <row r="14" spans="1:10" x14ac:dyDescent="0.2">
      <c r="A14" s="10">
        <v>18792</v>
      </c>
      <c r="B14" s="11">
        <v>42401</v>
      </c>
      <c r="C14" s="12">
        <v>20.3</v>
      </c>
      <c r="D14" s="12">
        <v>1.55</v>
      </c>
      <c r="E14" s="17"/>
      <c r="F14" s="20">
        <f>+C4+100+C7+C8+200</f>
        <v>653.98</v>
      </c>
      <c r="G14" s="20">
        <f>444.83+192.85</f>
        <v>637.67999999999995</v>
      </c>
      <c r="H14" s="195"/>
      <c r="I14" s="10"/>
    </row>
    <row r="15" spans="1:10" x14ac:dyDescent="0.2">
      <c r="A15" s="10">
        <v>18793</v>
      </c>
      <c r="B15" s="11">
        <v>42402</v>
      </c>
      <c r="C15" s="12">
        <v>88.77</v>
      </c>
      <c r="D15" s="12">
        <v>6.77</v>
      </c>
      <c r="E15" s="15" t="s">
        <v>562</v>
      </c>
      <c r="H15" s="193"/>
      <c r="I15" s="10"/>
    </row>
    <row r="16" spans="1:10" x14ac:dyDescent="0.2">
      <c r="A16" s="10">
        <v>18794</v>
      </c>
      <c r="B16" s="11">
        <v>42402</v>
      </c>
      <c r="C16" s="12">
        <v>7.5200000000000005</v>
      </c>
      <c r="D16" s="12">
        <v>0.56999999999999995</v>
      </c>
      <c r="E16" s="17"/>
      <c r="F16" s="18"/>
      <c r="G16" s="19"/>
      <c r="H16" s="194"/>
      <c r="I16" s="10"/>
    </row>
    <row r="17" spans="1:9" x14ac:dyDescent="0.2">
      <c r="A17" s="10">
        <v>18795</v>
      </c>
      <c r="B17" s="11">
        <v>42402</v>
      </c>
      <c r="C17" s="12">
        <v>110.42</v>
      </c>
      <c r="D17" s="12">
        <v>8.42</v>
      </c>
      <c r="E17" s="15" t="s">
        <v>11</v>
      </c>
      <c r="F17" s="21"/>
      <c r="G17" s="22"/>
      <c r="H17" s="193"/>
      <c r="I17" s="10"/>
    </row>
    <row r="18" spans="1:9" x14ac:dyDescent="0.2">
      <c r="A18" s="10">
        <v>18796</v>
      </c>
      <c r="B18" s="11">
        <v>42402</v>
      </c>
      <c r="C18" s="12">
        <v>74.100000000000009</v>
      </c>
      <c r="D18" s="12">
        <v>5.65</v>
      </c>
      <c r="E18" s="15" t="s">
        <v>11</v>
      </c>
      <c r="H18" s="193"/>
      <c r="I18" s="10"/>
    </row>
    <row r="19" spans="1:9" x14ac:dyDescent="0.2">
      <c r="A19" s="10">
        <v>18797</v>
      </c>
      <c r="B19" s="11">
        <v>42402</v>
      </c>
      <c r="C19" s="12">
        <v>151.55000000000001</v>
      </c>
      <c r="D19" s="12">
        <v>11.55</v>
      </c>
      <c r="E19" s="15" t="s">
        <v>11</v>
      </c>
      <c r="F19" s="21"/>
      <c r="G19" s="22"/>
      <c r="H19" s="193"/>
      <c r="I19" s="10"/>
    </row>
    <row r="20" spans="1:9" x14ac:dyDescent="0.2">
      <c r="A20" s="10">
        <v>18798</v>
      </c>
      <c r="B20" s="11">
        <v>42402</v>
      </c>
      <c r="C20" s="12">
        <v>17.32</v>
      </c>
      <c r="D20" s="12">
        <v>1.32</v>
      </c>
      <c r="E20" s="15" t="s">
        <v>7</v>
      </c>
      <c r="H20" s="193"/>
      <c r="I20" s="10"/>
    </row>
    <row r="21" spans="1:9" x14ac:dyDescent="0.2">
      <c r="A21" s="10">
        <v>18799</v>
      </c>
      <c r="B21" s="11">
        <v>42402</v>
      </c>
      <c r="C21" s="12">
        <v>18.5</v>
      </c>
      <c r="D21" s="12"/>
      <c r="E21" s="13" t="s">
        <v>19</v>
      </c>
      <c r="H21" s="194"/>
      <c r="I21" s="10"/>
    </row>
    <row r="22" spans="1:9" x14ac:dyDescent="0.2">
      <c r="A22" s="10">
        <v>18800</v>
      </c>
      <c r="B22" s="11">
        <v>42402</v>
      </c>
      <c r="C22" s="12">
        <v>199.35999999999996</v>
      </c>
      <c r="D22" s="12"/>
      <c r="E22" s="15" t="s">
        <v>16</v>
      </c>
      <c r="F22" s="20">
        <f>+C17+C18+C19</f>
        <v>336.07000000000005</v>
      </c>
      <c r="G22" s="20">
        <v>330.89</v>
      </c>
      <c r="H22" s="193"/>
      <c r="I22" s="10"/>
    </row>
    <row r="23" spans="1:9" x14ac:dyDescent="0.2">
      <c r="A23" s="10">
        <v>18801</v>
      </c>
      <c r="B23" s="11">
        <v>42403</v>
      </c>
      <c r="C23" s="12">
        <v>228.95</v>
      </c>
      <c r="D23" s="12">
        <v>17.45</v>
      </c>
      <c r="E23" s="15" t="s">
        <v>11</v>
      </c>
      <c r="F23" s="21"/>
      <c r="G23" s="22"/>
      <c r="H23" s="193"/>
      <c r="I23" s="10"/>
    </row>
    <row r="24" spans="1:9" x14ac:dyDescent="0.2">
      <c r="A24" s="10">
        <v>18802</v>
      </c>
      <c r="B24" s="11">
        <v>42403</v>
      </c>
      <c r="C24" s="12">
        <v>76.998224999999991</v>
      </c>
      <c r="D24" s="12">
        <v>5.8682249999999998</v>
      </c>
      <c r="E24" s="15" t="s">
        <v>11</v>
      </c>
      <c r="F24" s="21"/>
      <c r="G24" s="22"/>
      <c r="H24" s="193"/>
      <c r="I24" s="10"/>
    </row>
    <row r="25" spans="1:9" x14ac:dyDescent="0.2">
      <c r="A25" s="10">
        <v>18803</v>
      </c>
      <c r="B25" s="11">
        <v>42403</v>
      </c>
      <c r="C25" s="12">
        <v>52.8</v>
      </c>
      <c r="D25" s="12">
        <v>4.0199999999999996</v>
      </c>
      <c r="E25" s="15" t="s">
        <v>533</v>
      </c>
      <c r="F25" s="21"/>
      <c r="G25" s="22"/>
      <c r="H25" s="193"/>
      <c r="I25" s="10"/>
    </row>
    <row r="26" spans="1:9" x14ac:dyDescent="0.2">
      <c r="A26" s="10">
        <v>18804</v>
      </c>
      <c r="B26" s="11">
        <v>42403</v>
      </c>
      <c r="C26" s="12">
        <v>11.91</v>
      </c>
      <c r="D26" s="12">
        <v>0.91</v>
      </c>
      <c r="E26" s="15" t="s">
        <v>11</v>
      </c>
      <c r="H26" s="193"/>
      <c r="I26" s="10"/>
    </row>
    <row r="27" spans="1:9" x14ac:dyDescent="0.2">
      <c r="A27" s="10">
        <v>18805</v>
      </c>
      <c r="B27" s="11">
        <v>42403</v>
      </c>
      <c r="C27" s="12">
        <v>36.5</v>
      </c>
      <c r="D27" s="12">
        <v>2.78</v>
      </c>
      <c r="E27" s="15" t="s">
        <v>533</v>
      </c>
      <c r="F27" s="21"/>
      <c r="G27" s="22"/>
      <c r="H27" s="193"/>
      <c r="I27" s="10"/>
    </row>
    <row r="28" spans="1:9" x14ac:dyDescent="0.2">
      <c r="A28" s="10">
        <v>18806</v>
      </c>
      <c r="B28" s="11">
        <v>42403</v>
      </c>
      <c r="C28" s="12">
        <v>70.36</v>
      </c>
      <c r="D28" s="12">
        <v>5.36</v>
      </c>
      <c r="E28" s="15" t="s">
        <v>21</v>
      </c>
      <c r="I28" s="10"/>
    </row>
    <row r="29" spans="1:9" x14ac:dyDescent="0.2">
      <c r="A29" s="10">
        <v>18807</v>
      </c>
      <c r="B29" s="11">
        <v>42403</v>
      </c>
      <c r="C29" s="12">
        <v>57.32</v>
      </c>
      <c r="D29" s="12">
        <v>4.37</v>
      </c>
      <c r="E29" s="17"/>
      <c r="F29" s="18"/>
      <c r="G29" s="19"/>
      <c r="H29" s="194"/>
      <c r="I29" s="10"/>
    </row>
    <row r="30" spans="1:9" x14ac:dyDescent="0.2">
      <c r="A30" s="10">
        <v>18808</v>
      </c>
      <c r="B30" s="11">
        <v>42403</v>
      </c>
      <c r="C30" s="12">
        <v>151.5</v>
      </c>
      <c r="D30" s="12"/>
      <c r="E30" s="15" t="s">
        <v>563</v>
      </c>
      <c r="F30" s="21"/>
      <c r="G30" s="22"/>
      <c r="H30" s="193"/>
      <c r="I30" s="10"/>
    </row>
    <row r="31" spans="1:9" x14ac:dyDescent="0.2">
      <c r="A31" s="10">
        <v>18809</v>
      </c>
      <c r="B31" s="11">
        <v>42403</v>
      </c>
      <c r="C31" s="12">
        <v>32.479999999999997</v>
      </c>
      <c r="D31" s="12">
        <v>2.48</v>
      </c>
      <c r="E31" s="15" t="s">
        <v>7</v>
      </c>
      <c r="I31" s="10"/>
    </row>
    <row r="32" spans="1:9" x14ac:dyDescent="0.2">
      <c r="A32" s="10">
        <v>18810</v>
      </c>
      <c r="B32" s="11">
        <v>42403</v>
      </c>
      <c r="C32" s="12">
        <v>43.78</v>
      </c>
      <c r="D32" s="12"/>
      <c r="E32" s="13" t="s">
        <v>8</v>
      </c>
      <c r="I32" s="10"/>
    </row>
    <row r="33" spans="1:12" x14ac:dyDescent="0.2">
      <c r="A33" s="10">
        <v>18811</v>
      </c>
      <c r="B33" s="11">
        <v>42403</v>
      </c>
      <c r="C33" s="12">
        <v>287.95</v>
      </c>
      <c r="D33" s="12">
        <v>21.95</v>
      </c>
      <c r="E33" s="15" t="s">
        <v>7</v>
      </c>
      <c r="I33" s="10"/>
    </row>
    <row r="34" spans="1:12" x14ac:dyDescent="0.2">
      <c r="A34" s="10">
        <v>18812</v>
      </c>
      <c r="B34" s="11">
        <v>42403</v>
      </c>
      <c r="C34" s="12">
        <v>355.06</v>
      </c>
      <c r="D34" s="12">
        <v>27.06</v>
      </c>
      <c r="E34" s="15" t="s">
        <v>11</v>
      </c>
      <c r="F34" s="20">
        <f>993.35+581</f>
        <v>1574.35</v>
      </c>
      <c r="G34" s="20">
        <f>982.49+565.03</f>
        <v>1547.52</v>
      </c>
      <c r="H34" s="195"/>
      <c r="I34" s="10"/>
    </row>
    <row r="35" spans="1:12" x14ac:dyDescent="0.2">
      <c r="A35" s="10">
        <v>18813</v>
      </c>
      <c r="B35" s="11">
        <v>42404</v>
      </c>
      <c r="C35" s="2">
        <v>37.83</v>
      </c>
      <c r="D35" s="2">
        <v>2.88</v>
      </c>
      <c r="E35" s="200"/>
      <c r="G35" s="77"/>
      <c r="H35" s="85"/>
      <c r="I35" s="77"/>
      <c r="J35" s="77"/>
      <c r="K35" s="77"/>
      <c r="L35" s="77"/>
    </row>
    <row r="36" spans="1:12" x14ac:dyDescent="0.2">
      <c r="A36" s="10">
        <v>18814</v>
      </c>
      <c r="B36" s="11">
        <v>42404</v>
      </c>
      <c r="C36" s="25">
        <v>171.04</v>
      </c>
      <c r="D36" s="4">
        <v>13.04</v>
      </c>
      <c r="E36" s="26" t="s">
        <v>11</v>
      </c>
      <c r="G36" s="77"/>
      <c r="H36" s="183"/>
      <c r="L36" s="77"/>
    </row>
    <row r="37" spans="1:12" x14ac:dyDescent="0.2">
      <c r="A37" s="10">
        <v>18815</v>
      </c>
      <c r="B37" s="11">
        <v>42404</v>
      </c>
      <c r="C37" s="25">
        <v>426.51</v>
      </c>
      <c r="D37" s="4">
        <v>32.51</v>
      </c>
      <c r="E37" s="26"/>
      <c r="G37" s="77"/>
      <c r="H37" s="185"/>
      <c r="L37" s="77"/>
    </row>
    <row r="38" spans="1:12" x14ac:dyDescent="0.2">
      <c r="A38" s="10">
        <v>18816</v>
      </c>
      <c r="B38" s="11">
        <v>42404</v>
      </c>
      <c r="C38" s="25">
        <v>190</v>
      </c>
      <c r="D38" s="4">
        <v>14.48</v>
      </c>
      <c r="E38" s="26" t="s">
        <v>564</v>
      </c>
      <c r="G38" s="77"/>
      <c r="H38" s="185"/>
      <c r="L38" s="77"/>
    </row>
    <row r="39" spans="1:12" x14ac:dyDescent="0.2">
      <c r="A39" s="10">
        <v>18817</v>
      </c>
      <c r="B39" s="11">
        <v>42404</v>
      </c>
      <c r="C39" s="25">
        <v>449.78</v>
      </c>
      <c r="D39" s="4">
        <v>34.28</v>
      </c>
      <c r="E39" s="26" t="s">
        <v>26</v>
      </c>
      <c r="G39" s="77"/>
      <c r="H39" s="183"/>
      <c r="L39" s="77"/>
    </row>
    <row r="40" spans="1:12" x14ac:dyDescent="0.2">
      <c r="A40" s="10">
        <v>18818</v>
      </c>
      <c r="B40" s="11">
        <v>42404</v>
      </c>
      <c r="C40" s="25">
        <v>0</v>
      </c>
      <c r="D40" s="25">
        <v>0</v>
      </c>
      <c r="E40" s="26" t="s">
        <v>565</v>
      </c>
      <c r="G40" s="77"/>
      <c r="H40" s="183"/>
      <c r="L40" s="77"/>
    </row>
    <row r="41" spans="1:12" x14ac:dyDescent="0.2">
      <c r="A41" s="10">
        <v>18819</v>
      </c>
      <c r="B41" s="11">
        <v>42404</v>
      </c>
      <c r="C41" s="25">
        <v>134.22999999999999</v>
      </c>
      <c r="D41" s="4">
        <v>10.23</v>
      </c>
      <c r="E41" s="26" t="s">
        <v>11</v>
      </c>
      <c r="G41" s="77"/>
      <c r="H41" s="185"/>
      <c r="L41" s="77"/>
    </row>
    <row r="42" spans="1:12" x14ac:dyDescent="0.2">
      <c r="A42" s="10">
        <v>18820</v>
      </c>
      <c r="B42" s="11">
        <v>42404</v>
      </c>
      <c r="C42" s="25">
        <v>17.32</v>
      </c>
      <c r="D42" s="4">
        <v>1.32</v>
      </c>
      <c r="E42" s="26" t="s">
        <v>7</v>
      </c>
      <c r="G42" s="77"/>
      <c r="H42" s="185"/>
      <c r="L42" s="77"/>
    </row>
    <row r="43" spans="1:12" x14ac:dyDescent="0.2">
      <c r="A43" s="10">
        <v>18821</v>
      </c>
      <c r="B43" s="11">
        <v>42404</v>
      </c>
      <c r="C43" s="25">
        <v>43.95</v>
      </c>
      <c r="D43" s="4">
        <v>3.35</v>
      </c>
      <c r="E43" s="26" t="s">
        <v>11</v>
      </c>
      <c r="G43" s="77"/>
      <c r="H43" s="183"/>
      <c r="L43" s="77"/>
    </row>
    <row r="44" spans="1:12" x14ac:dyDescent="0.2">
      <c r="A44" s="10">
        <v>18822</v>
      </c>
      <c r="B44" s="11">
        <v>42404</v>
      </c>
      <c r="C44" s="25">
        <v>0</v>
      </c>
      <c r="D44" s="25">
        <v>0</v>
      </c>
      <c r="E44" s="26"/>
      <c r="G44" s="77"/>
      <c r="H44" s="185"/>
      <c r="L44" s="77"/>
    </row>
    <row r="45" spans="1:12" x14ac:dyDescent="0.2">
      <c r="A45" s="10">
        <v>18823</v>
      </c>
      <c r="B45" s="11">
        <v>42404</v>
      </c>
      <c r="C45" s="25">
        <v>145.9</v>
      </c>
      <c r="E45" s="26" t="s">
        <v>566</v>
      </c>
      <c r="G45" s="77"/>
      <c r="H45" s="185"/>
      <c r="L45" s="77"/>
    </row>
    <row r="46" spans="1:12" x14ac:dyDescent="0.2">
      <c r="A46" s="10">
        <v>18824</v>
      </c>
      <c r="B46" s="11">
        <v>42404</v>
      </c>
      <c r="C46" s="25">
        <v>357.15</v>
      </c>
      <c r="E46" s="26" t="s">
        <v>566</v>
      </c>
      <c r="G46" s="77"/>
      <c r="H46" s="185"/>
      <c r="L46" s="77"/>
    </row>
    <row r="47" spans="1:12" x14ac:dyDescent="0.2">
      <c r="A47" s="10">
        <v>18825</v>
      </c>
      <c r="B47" s="11">
        <v>42404</v>
      </c>
      <c r="C47" s="25">
        <v>12</v>
      </c>
      <c r="D47" s="4">
        <v>0.91</v>
      </c>
      <c r="E47" s="26"/>
      <c r="G47" s="77"/>
      <c r="H47" s="185"/>
      <c r="L47" s="77"/>
    </row>
    <row r="48" spans="1:12" x14ac:dyDescent="0.2">
      <c r="A48" s="10">
        <v>18826</v>
      </c>
      <c r="B48" s="11">
        <v>42404</v>
      </c>
      <c r="C48" s="25">
        <v>12.99</v>
      </c>
      <c r="D48" s="4">
        <v>0.99</v>
      </c>
      <c r="E48" s="26" t="s">
        <v>11</v>
      </c>
      <c r="F48" s="20">
        <v>405.62</v>
      </c>
      <c r="G48" s="20">
        <v>397.82</v>
      </c>
      <c r="H48" s="185"/>
      <c r="L48" s="77"/>
    </row>
    <row r="49" spans="1:12" x14ac:dyDescent="0.2">
      <c r="A49" s="10">
        <v>18827</v>
      </c>
      <c r="B49" s="11">
        <v>42405</v>
      </c>
      <c r="C49" s="25">
        <v>28.6</v>
      </c>
      <c r="E49" s="26" t="s">
        <v>17</v>
      </c>
      <c r="G49" s="77"/>
      <c r="H49" s="185"/>
      <c r="L49" s="77"/>
    </row>
    <row r="50" spans="1:12" x14ac:dyDescent="0.2">
      <c r="A50" s="10">
        <v>18828</v>
      </c>
      <c r="B50" s="11">
        <v>42405</v>
      </c>
      <c r="C50" s="25">
        <v>25.2</v>
      </c>
      <c r="E50" s="26" t="s">
        <v>17</v>
      </c>
      <c r="G50" s="77"/>
      <c r="H50" s="85"/>
      <c r="I50" s="77"/>
      <c r="J50" s="77"/>
      <c r="K50" s="77"/>
      <c r="L50" s="77"/>
    </row>
    <row r="51" spans="1:12" x14ac:dyDescent="0.2">
      <c r="A51" s="10">
        <v>18829</v>
      </c>
      <c r="B51" s="11">
        <v>42405</v>
      </c>
      <c r="C51" s="25">
        <v>39.89</v>
      </c>
      <c r="D51" s="4">
        <v>3.04</v>
      </c>
      <c r="E51" s="26"/>
      <c r="G51" s="77"/>
      <c r="H51" s="85"/>
      <c r="I51" s="77"/>
      <c r="J51" s="77"/>
      <c r="K51" s="77"/>
      <c r="L51" s="77"/>
    </row>
    <row r="52" spans="1:12" x14ac:dyDescent="0.2">
      <c r="A52" s="10">
        <v>18830</v>
      </c>
      <c r="B52" s="11">
        <v>42405</v>
      </c>
      <c r="C52" s="25">
        <v>173.2</v>
      </c>
      <c r="D52" s="25">
        <v>13.2</v>
      </c>
      <c r="E52" s="26"/>
      <c r="G52" s="77"/>
      <c r="H52" s="85"/>
      <c r="I52" s="77"/>
      <c r="J52" s="77"/>
      <c r="K52" s="77"/>
      <c r="L52" s="77"/>
    </row>
    <row r="53" spans="1:12" x14ac:dyDescent="0.2">
      <c r="A53" s="10">
        <v>18831</v>
      </c>
      <c r="B53" s="11">
        <v>42405</v>
      </c>
      <c r="C53" s="25">
        <v>8.66</v>
      </c>
      <c r="D53" s="4">
        <v>0.66</v>
      </c>
      <c r="E53" s="26" t="s">
        <v>11</v>
      </c>
      <c r="G53" s="77"/>
      <c r="H53" s="85"/>
      <c r="I53" s="77"/>
      <c r="J53" s="77"/>
      <c r="K53" s="77"/>
      <c r="L53" s="77"/>
    </row>
    <row r="54" spans="1:12" x14ac:dyDescent="0.2">
      <c r="A54" s="10">
        <v>18832</v>
      </c>
      <c r="B54" s="11">
        <v>42405</v>
      </c>
      <c r="C54" s="25">
        <v>150.66999999999999</v>
      </c>
      <c r="D54" s="4">
        <v>11.48</v>
      </c>
      <c r="E54" s="26"/>
      <c r="G54" s="77"/>
      <c r="H54" s="85"/>
      <c r="I54" s="77"/>
      <c r="J54" s="77"/>
      <c r="K54" s="77"/>
      <c r="L54" s="77"/>
    </row>
    <row r="55" spans="1:12" x14ac:dyDescent="0.2">
      <c r="A55" s="10">
        <v>18833</v>
      </c>
      <c r="B55" s="11">
        <v>42405</v>
      </c>
      <c r="C55" s="25">
        <v>11.91</v>
      </c>
      <c r="D55" s="4">
        <v>0.91</v>
      </c>
      <c r="E55" s="26" t="s">
        <v>11</v>
      </c>
      <c r="G55" s="77"/>
      <c r="H55" s="85"/>
      <c r="I55" s="77"/>
      <c r="J55" s="77"/>
      <c r="K55" s="77"/>
      <c r="L55" s="77"/>
    </row>
    <row r="56" spans="1:12" x14ac:dyDescent="0.2">
      <c r="A56" s="10">
        <v>18834</v>
      </c>
      <c r="B56" s="11">
        <v>42405</v>
      </c>
      <c r="C56" s="25">
        <v>44.38</v>
      </c>
      <c r="D56" s="4">
        <v>3.38</v>
      </c>
      <c r="E56" s="26" t="s">
        <v>11</v>
      </c>
      <c r="F56" s="18"/>
      <c r="G56" s="19"/>
      <c r="H56" s="85"/>
      <c r="I56" s="77"/>
      <c r="J56" s="77"/>
      <c r="K56" s="77"/>
      <c r="L56" s="77"/>
    </row>
    <row r="57" spans="1:12" x14ac:dyDescent="0.2">
      <c r="A57" s="10">
        <v>18835</v>
      </c>
      <c r="B57" s="11">
        <v>42405</v>
      </c>
      <c r="C57" s="25">
        <v>544.39</v>
      </c>
      <c r="D57" s="4">
        <v>41.49</v>
      </c>
      <c r="E57" s="26" t="s">
        <v>21</v>
      </c>
      <c r="G57" s="77"/>
      <c r="H57" s="85"/>
      <c r="I57" s="77"/>
      <c r="J57" s="77"/>
      <c r="K57" s="77"/>
      <c r="L57" s="77"/>
    </row>
    <row r="58" spans="1:12" x14ac:dyDescent="0.2">
      <c r="A58" s="10">
        <v>18836</v>
      </c>
      <c r="B58" s="11">
        <v>42405</v>
      </c>
      <c r="C58" s="25">
        <v>208.38</v>
      </c>
      <c r="D58" s="4">
        <v>15.88</v>
      </c>
      <c r="E58" s="26" t="s">
        <v>11</v>
      </c>
      <c r="G58" s="77"/>
      <c r="H58" s="85"/>
      <c r="I58" s="77"/>
      <c r="J58" s="77"/>
      <c r="K58" s="77"/>
      <c r="L58" s="77"/>
    </row>
    <row r="59" spans="1:12" x14ac:dyDescent="0.2">
      <c r="A59" s="10">
        <v>18837</v>
      </c>
      <c r="B59" s="11">
        <v>42405</v>
      </c>
      <c r="C59" s="25">
        <v>160.80000000000001</v>
      </c>
      <c r="E59" s="26" t="s">
        <v>567</v>
      </c>
      <c r="G59" s="77"/>
      <c r="H59" s="85"/>
      <c r="L59" s="77"/>
    </row>
    <row r="60" spans="1:12" x14ac:dyDescent="0.2">
      <c r="A60" s="10">
        <v>18838</v>
      </c>
      <c r="B60" s="11">
        <v>42405</v>
      </c>
      <c r="C60" s="25">
        <v>-14.07</v>
      </c>
      <c r="D60" s="4">
        <v>-1.07</v>
      </c>
      <c r="E60" s="26"/>
      <c r="F60" s="134">
        <v>118.75</v>
      </c>
      <c r="G60" s="123">
        <f>+F60*0.97831</f>
        <v>116.1743125</v>
      </c>
      <c r="H60" s="25">
        <v>323.02</v>
      </c>
    </row>
    <row r="61" spans="1:12" x14ac:dyDescent="0.2">
      <c r="A61" s="10">
        <v>18839</v>
      </c>
      <c r="B61" s="11">
        <v>42406</v>
      </c>
      <c r="C61" s="12">
        <v>36.75</v>
      </c>
      <c r="D61" s="12">
        <v>2.8</v>
      </c>
      <c r="E61" s="15" t="s">
        <v>11</v>
      </c>
      <c r="F61" s="21"/>
      <c r="G61" s="22"/>
      <c r="H61" s="10"/>
      <c r="I61" s="10"/>
    </row>
    <row r="62" spans="1:12" x14ac:dyDescent="0.2">
      <c r="A62" s="10">
        <v>18840</v>
      </c>
      <c r="B62" s="11">
        <v>42406</v>
      </c>
      <c r="C62" s="12">
        <v>28.04</v>
      </c>
      <c r="D62" s="12">
        <v>2.14</v>
      </c>
      <c r="E62" s="17"/>
      <c r="F62" s="18"/>
      <c r="G62" s="19"/>
      <c r="H62" s="12"/>
      <c r="I62" s="10"/>
    </row>
    <row r="63" spans="1:12" x14ac:dyDescent="0.2">
      <c r="A63" s="10">
        <v>18841</v>
      </c>
      <c r="B63" s="11">
        <v>42406</v>
      </c>
      <c r="C63" s="12">
        <v>9.74</v>
      </c>
      <c r="D63" s="12">
        <v>0.74</v>
      </c>
      <c r="E63" s="17"/>
      <c r="F63" s="115"/>
      <c r="G63" s="115"/>
      <c r="H63" s="12"/>
      <c r="I63" s="10"/>
    </row>
    <row r="64" spans="1:12" x14ac:dyDescent="0.2">
      <c r="A64" s="10">
        <v>18842</v>
      </c>
      <c r="B64" s="11">
        <v>42406</v>
      </c>
      <c r="C64" s="12">
        <v>289.02999999999997</v>
      </c>
      <c r="D64" s="12">
        <v>22.03</v>
      </c>
      <c r="E64" s="15" t="s">
        <v>11</v>
      </c>
      <c r="H64" s="10"/>
      <c r="I64" s="10"/>
    </row>
    <row r="65" spans="1:9" x14ac:dyDescent="0.2">
      <c r="A65" s="10">
        <v>18843</v>
      </c>
      <c r="B65" s="11">
        <v>42406</v>
      </c>
      <c r="C65" s="12">
        <v>90</v>
      </c>
      <c r="D65" s="12">
        <v>6.86</v>
      </c>
      <c r="E65" s="17"/>
      <c r="H65" s="12"/>
      <c r="I65" s="10"/>
    </row>
    <row r="66" spans="1:9" x14ac:dyDescent="0.2">
      <c r="A66" s="10">
        <v>18844</v>
      </c>
      <c r="B66" s="11">
        <v>42406</v>
      </c>
      <c r="C66" s="12">
        <v>68.039999999999992</v>
      </c>
      <c r="D66" s="12">
        <v>5.19</v>
      </c>
      <c r="E66" s="15" t="s">
        <v>11</v>
      </c>
      <c r="F66" s="21"/>
      <c r="G66" s="22"/>
      <c r="H66" s="10"/>
      <c r="I66" s="10"/>
    </row>
    <row r="67" spans="1:9" x14ac:dyDescent="0.2">
      <c r="A67" s="10">
        <v>18845</v>
      </c>
      <c r="B67" s="11">
        <v>42406</v>
      </c>
      <c r="C67" s="12">
        <v>108.25</v>
      </c>
      <c r="D67" s="12">
        <v>8.25</v>
      </c>
      <c r="E67" s="17"/>
      <c r="F67" s="18"/>
      <c r="G67" s="19"/>
      <c r="H67" s="12"/>
      <c r="I67" s="10"/>
    </row>
    <row r="68" spans="1:9" x14ac:dyDescent="0.2">
      <c r="A68" s="10">
        <v>18846</v>
      </c>
      <c r="B68" s="11">
        <v>42406</v>
      </c>
      <c r="C68" s="12">
        <v>221.97000000000003</v>
      </c>
      <c r="D68" s="12">
        <v>16.920000000000002</v>
      </c>
      <c r="E68" s="17"/>
      <c r="F68" s="18"/>
      <c r="G68" s="19"/>
      <c r="H68" s="12"/>
      <c r="I68" s="10"/>
    </row>
    <row r="69" spans="1:9" x14ac:dyDescent="0.2">
      <c r="A69" s="10">
        <v>18847</v>
      </c>
      <c r="B69" s="11">
        <v>42406</v>
      </c>
      <c r="C69" s="12">
        <v>10.229999999999999</v>
      </c>
      <c r="D69" s="12">
        <v>0.78</v>
      </c>
      <c r="E69" s="17"/>
      <c r="F69" s="18"/>
      <c r="G69" s="19"/>
      <c r="H69" s="12"/>
      <c r="I69" s="10"/>
    </row>
    <row r="70" spans="1:9" x14ac:dyDescent="0.2">
      <c r="A70" s="10">
        <v>18848</v>
      </c>
      <c r="B70" s="11">
        <v>42406</v>
      </c>
      <c r="C70" s="12">
        <v>80</v>
      </c>
      <c r="D70" s="12"/>
      <c r="E70" s="13" t="s">
        <v>568</v>
      </c>
      <c r="H70" s="12"/>
      <c r="I70" s="10"/>
    </row>
    <row r="71" spans="1:9" x14ac:dyDescent="0.2">
      <c r="A71" s="10">
        <v>18849</v>
      </c>
      <c r="B71" s="11">
        <v>42406</v>
      </c>
      <c r="C71" s="12">
        <v>169.95</v>
      </c>
      <c r="D71" s="12">
        <v>12.95</v>
      </c>
      <c r="E71" s="17"/>
      <c r="H71" s="12"/>
      <c r="I71" s="10"/>
    </row>
    <row r="72" spans="1:9" x14ac:dyDescent="0.2">
      <c r="A72" s="10">
        <v>18850</v>
      </c>
      <c r="B72" s="11">
        <v>42406</v>
      </c>
      <c r="C72" s="12">
        <v>80.11</v>
      </c>
      <c r="D72" s="12">
        <v>6.11</v>
      </c>
      <c r="E72" s="15" t="s">
        <v>21</v>
      </c>
      <c r="H72" s="10"/>
      <c r="I72" s="10"/>
    </row>
    <row r="73" spans="1:9" x14ac:dyDescent="0.2">
      <c r="A73" s="10">
        <v>18851</v>
      </c>
      <c r="B73" s="11">
        <v>42406</v>
      </c>
      <c r="C73" s="12">
        <v>17.32</v>
      </c>
      <c r="D73" s="12">
        <v>1.32</v>
      </c>
      <c r="E73" s="15" t="s">
        <v>11</v>
      </c>
      <c r="F73" s="21"/>
      <c r="G73" s="22"/>
      <c r="H73" s="10"/>
      <c r="I73" s="10"/>
    </row>
    <row r="74" spans="1:9" x14ac:dyDescent="0.2">
      <c r="A74" s="10">
        <v>18852</v>
      </c>
      <c r="B74" s="11">
        <v>42406</v>
      </c>
      <c r="C74" s="12">
        <v>10.83</v>
      </c>
      <c r="D74" s="12">
        <v>0.83</v>
      </c>
      <c r="E74" s="15" t="s">
        <v>7</v>
      </c>
      <c r="H74" s="10"/>
      <c r="I74" s="10"/>
    </row>
    <row r="75" spans="1:9" x14ac:dyDescent="0.2">
      <c r="A75" s="10">
        <v>18853</v>
      </c>
      <c r="B75" s="11">
        <v>42406</v>
      </c>
      <c r="C75" s="12">
        <v>7.58</v>
      </c>
      <c r="D75" s="12">
        <v>0.57999999999999996</v>
      </c>
      <c r="E75" s="17"/>
      <c r="H75" s="12"/>
      <c r="I75" s="10"/>
    </row>
    <row r="76" spans="1:9" x14ac:dyDescent="0.2">
      <c r="A76" s="10">
        <v>18854</v>
      </c>
      <c r="B76" s="11">
        <v>42406</v>
      </c>
      <c r="C76" s="12">
        <v>42.22</v>
      </c>
      <c r="D76" s="12">
        <v>3.22</v>
      </c>
      <c r="E76" s="17"/>
      <c r="F76" s="20">
        <f>+C61+C64+C66+C73+C74+213</f>
        <v>634.96999999999991</v>
      </c>
      <c r="G76" s="20">
        <v>622.91</v>
      </c>
      <c r="H76" s="12"/>
      <c r="I76" s="10"/>
    </row>
    <row r="77" spans="1:9" x14ac:dyDescent="0.2">
      <c r="A77" s="10">
        <v>18855</v>
      </c>
      <c r="B77" s="11">
        <v>42408</v>
      </c>
      <c r="C77" s="12">
        <v>73.959999999999994</v>
      </c>
      <c r="D77" s="12">
        <v>5.64</v>
      </c>
      <c r="E77" s="15" t="s">
        <v>11</v>
      </c>
      <c r="H77" s="10"/>
      <c r="I77" s="10"/>
    </row>
    <row r="78" spans="1:9" x14ac:dyDescent="0.2">
      <c r="A78" s="10">
        <v>18856</v>
      </c>
      <c r="B78" s="11">
        <v>42408</v>
      </c>
      <c r="C78" s="12">
        <v>26</v>
      </c>
      <c r="D78" s="12"/>
      <c r="E78" s="15" t="s">
        <v>569</v>
      </c>
      <c r="F78" s="21"/>
      <c r="G78" s="22"/>
      <c r="H78" s="10"/>
      <c r="I78" s="10"/>
    </row>
    <row r="79" spans="1:9" x14ac:dyDescent="0.2">
      <c r="A79" s="10">
        <v>18857</v>
      </c>
      <c r="B79" s="11">
        <v>42408</v>
      </c>
      <c r="C79" s="12">
        <v>41.35</v>
      </c>
      <c r="D79" s="12">
        <v>3.15</v>
      </c>
      <c r="E79" s="15" t="s">
        <v>11</v>
      </c>
      <c r="H79" s="10"/>
      <c r="I79" s="10"/>
    </row>
    <row r="80" spans="1:9" x14ac:dyDescent="0.2">
      <c r="A80" s="10">
        <v>18858</v>
      </c>
      <c r="B80" s="11">
        <v>42408</v>
      </c>
      <c r="C80" s="12">
        <v>27.06</v>
      </c>
      <c r="D80" s="12">
        <v>2.06</v>
      </c>
      <c r="E80" s="17"/>
      <c r="F80" s="18"/>
      <c r="G80" s="19"/>
      <c r="H80" s="12"/>
      <c r="I80" s="10"/>
    </row>
    <row r="81" spans="1:9" x14ac:dyDescent="0.2">
      <c r="A81" s="10">
        <v>18859</v>
      </c>
      <c r="B81" s="11">
        <v>42408</v>
      </c>
      <c r="C81" s="12">
        <v>81.19</v>
      </c>
      <c r="D81" s="12">
        <v>6.19</v>
      </c>
      <c r="E81" s="15" t="s">
        <v>11</v>
      </c>
      <c r="F81" s="21"/>
      <c r="G81" s="22"/>
      <c r="H81" s="10"/>
      <c r="I81" s="10"/>
    </row>
    <row r="82" spans="1:9" x14ac:dyDescent="0.2">
      <c r="A82" s="10">
        <v>18860</v>
      </c>
      <c r="B82" s="11">
        <v>42408</v>
      </c>
      <c r="C82" s="12">
        <v>214.34</v>
      </c>
      <c r="D82" s="12">
        <v>16.34</v>
      </c>
      <c r="E82" s="13"/>
      <c r="F82" s="18"/>
      <c r="G82" s="19"/>
      <c r="H82" s="12"/>
      <c r="I82" s="10"/>
    </row>
    <row r="83" spans="1:9" x14ac:dyDescent="0.2">
      <c r="A83" s="10">
        <v>18861</v>
      </c>
      <c r="B83" s="11">
        <v>42408</v>
      </c>
      <c r="C83" s="12">
        <v>370</v>
      </c>
      <c r="D83" s="12"/>
      <c r="E83" s="15" t="s">
        <v>25</v>
      </c>
      <c r="H83" s="10"/>
      <c r="I83" s="10"/>
    </row>
    <row r="84" spans="1:9" x14ac:dyDescent="0.2">
      <c r="A84" s="10">
        <v>18862</v>
      </c>
      <c r="B84" s="11">
        <v>42408</v>
      </c>
      <c r="C84" s="12">
        <v>140.72999999999999</v>
      </c>
      <c r="D84" s="12">
        <v>10.73</v>
      </c>
      <c r="E84" s="17"/>
      <c r="F84" s="18"/>
      <c r="G84" s="19"/>
      <c r="H84" s="12"/>
      <c r="I84" s="10"/>
    </row>
    <row r="85" spans="1:9" x14ac:dyDescent="0.2">
      <c r="A85" s="10">
        <v>18863</v>
      </c>
      <c r="B85" s="11">
        <v>42408</v>
      </c>
      <c r="C85" s="12">
        <v>50</v>
      </c>
      <c r="D85" s="12"/>
      <c r="E85" s="15" t="s">
        <v>417</v>
      </c>
      <c r="H85" s="10"/>
      <c r="I85" s="10"/>
    </row>
    <row r="86" spans="1:9" x14ac:dyDescent="0.2">
      <c r="A86" s="10">
        <v>18864</v>
      </c>
      <c r="B86" s="11">
        <v>42408</v>
      </c>
      <c r="C86" s="12">
        <v>182.4</v>
      </c>
      <c r="D86" s="12">
        <v>13.9</v>
      </c>
      <c r="E86" s="15" t="s">
        <v>11</v>
      </c>
      <c r="F86" s="21"/>
      <c r="G86" s="22"/>
      <c r="H86" s="10"/>
      <c r="I86" s="10"/>
    </row>
    <row r="87" spans="1:9" x14ac:dyDescent="0.2">
      <c r="A87" s="10">
        <v>18865</v>
      </c>
      <c r="B87" s="11">
        <v>42408</v>
      </c>
      <c r="C87" s="12">
        <v>37.89</v>
      </c>
      <c r="D87" s="12">
        <v>2.89</v>
      </c>
      <c r="E87" s="17"/>
      <c r="F87" s="20">
        <f>+C77+C78+C79+C81+C86+C85</f>
        <v>454.9</v>
      </c>
      <c r="G87" s="20">
        <v>447.73</v>
      </c>
      <c r="H87" s="12"/>
      <c r="I87" s="10"/>
    </row>
    <row r="88" spans="1:9" x14ac:dyDescent="0.2">
      <c r="A88" s="10">
        <v>18866</v>
      </c>
      <c r="B88" s="11">
        <v>42409</v>
      </c>
      <c r="C88" s="12">
        <v>906.05</v>
      </c>
      <c r="D88" s="12">
        <v>69.05</v>
      </c>
      <c r="E88" s="15"/>
      <c r="F88" s="21"/>
      <c r="G88" s="22"/>
      <c r="H88" s="10"/>
      <c r="I88" s="10"/>
    </row>
    <row r="89" spans="1:9" x14ac:dyDescent="0.2">
      <c r="A89" s="10">
        <v>18867</v>
      </c>
      <c r="B89" s="11">
        <v>42409</v>
      </c>
      <c r="C89" s="12">
        <v>81.19</v>
      </c>
      <c r="D89" s="12">
        <v>6.19</v>
      </c>
      <c r="E89" s="15" t="s">
        <v>7</v>
      </c>
      <c r="H89" s="10"/>
      <c r="I89" s="10"/>
    </row>
    <row r="90" spans="1:9" x14ac:dyDescent="0.2">
      <c r="A90" s="10">
        <v>18868</v>
      </c>
      <c r="B90" s="11">
        <v>42409</v>
      </c>
      <c r="C90" s="12">
        <v>151.5</v>
      </c>
      <c r="D90" s="12">
        <v>11.55</v>
      </c>
      <c r="E90" s="15" t="s">
        <v>11</v>
      </c>
      <c r="H90" s="10"/>
      <c r="I90" s="10"/>
    </row>
    <row r="91" spans="1:9" x14ac:dyDescent="0.2">
      <c r="A91" s="10">
        <v>18869</v>
      </c>
      <c r="B91" s="11">
        <v>42409</v>
      </c>
      <c r="C91" s="12">
        <v>57</v>
      </c>
      <c r="D91" s="12"/>
      <c r="E91" s="13" t="s">
        <v>568</v>
      </c>
      <c r="H91" s="12"/>
      <c r="I91" s="10"/>
    </row>
    <row r="92" spans="1:9" x14ac:dyDescent="0.2">
      <c r="A92" s="10">
        <v>18870</v>
      </c>
      <c r="B92" s="11">
        <v>42409</v>
      </c>
      <c r="C92" s="12">
        <v>275.19</v>
      </c>
      <c r="D92" s="12"/>
      <c r="E92" s="15" t="s">
        <v>567</v>
      </c>
      <c r="F92" s="21"/>
      <c r="G92" s="22"/>
      <c r="H92" s="10"/>
      <c r="I92" s="10"/>
    </row>
    <row r="93" spans="1:9" x14ac:dyDescent="0.2">
      <c r="A93" s="10">
        <v>18871</v>
      </c>
      <c r="B93" s="11">
        <v>42409</v>
      </c>
      <c r="C93" s="12">
        <v>455.73</v>
      </c>
      <c r="D93" s="12">
        <v>34.729999999999997</v>
      </c>
      <c r="E93" s="15" t="s">
        <v>533</v>
      </c>
      <c r="H93" s="10"/>
      <c r="I93" s="10"/>
    </row>
    <row r="94" spans="1:9" x14ac:dyDescent="0.2">
      <c r="A94" s="10">
        <v>18872</v>
      </c>
      <c r="B94" s="11">
        <v>42409</v>
      </c>
      <c r="C94" s="12">
        <v>64.95</v>
      </c>
      <c r="D94" s="12">
        <v>4.95</v>
      </c>
      <c r="E94" s="15" t="s">
        <v>7</v>
      </c>
      <c r="F94" s="21"/>
      <c r="G94" s="22"/>
      <c r="H94" s="10"/>
      <c r="I94" s="10"/>
    </row>
    <row r="95" spans="1:9" x14ac:dyDescent="0.2">
      <c r="A95" s="10">
        <v>18873</v>
      </c>
      <c r="B95" s="11">
        <v>42409</v>
      </c>
      <c r="C95" s="12">
        <v>85.52</v>
      </c>
      <c r="D95" s="12">
        <v>6.52</v>
      </c>
      <c r="E95" s="15" t="s">
        <v>533</v>
      </c>
      <c r="I95" s="10"/>
    </row>
    <row r="96" spans="1:9" x14ac:dyDescent="0.2">
      <c r="A96" s="10">
        <v>18874</v>
      </c>
      <c r="B96" s="11">
        <v>42409</v>
      </c>
      <c r="C96" s="12">
        <v>202.97</v>
      </c>
      <c r="D96" s="12">
        <v>15.47</v>
      </c>
      <c r="E96" s="15" t="s">
        <v>7</v>
      </c>
      <c r="F96" s="21"/>
      <c r="G96" s="22"/>
      <c r="H96" s="23"/>
      <c r="I96" s="10"/>
    </row>
    <row r="97" spans="1:9" x14ac:dyDescent="0.2">
      <c r="A97" s="10">
        <v>18875</v>
      </c>
      <c r="B97" s="11">
        <v>42409</v>
      </c>
      <c r="C97" s="12">
        <v>17.27</v>
      </c>
      <c r="D97" s="12">
        <v>1.32</v>
      </c>
      <c r="E97" s="15" t="s">
        <v>11</v>
      </c>
      <c r="I97" s="10"/>
    </row>
    <row r="98" spans="1:9" x14ac:dyDescent="0.2">
      <c r="A98" s="10">
        <v>18876</v>
      </c>
      <c r="B98" s="11">
        <v>42409</v>
      </c>
      <c r="C98" s="12">
        <v>96.99</v>
      </c>
      <c r="D98" s="12"/>
      <c r="E98" s="26" t="s">
        <v>567</v>
      </c>
      <c r="F98" s="21"/>
      <c r="G98" s="22"/>
      <c r="H98" s="23"/>
      <c r="I98" s="10"/>
    </row>
    <row r="99" spans="1:9" x14ac:dyDescent="0.2">
      <c r="A99" s="10">
        <v>18877</v>
      </c>
      <c r="B99" s="11">
        <v>42409</v>
      </c>
      <c r="C99" s="12">
        <v>7</v>
      </c>
      <c r="D99" s="12"/>
      <c r="E99" s="26" t="s">
        <v>567</v>
      </c>
      <c r="F99" s="20">
        <f>+C89+C90+C94+C97+85.52</f>
        <v>400.42999999999995</v>
      </c>
      <c r="G99" s="20">
        <f>308.93+82.38</f>
        <v>391.31</v>
      </c>
      <c r="H99" s="15"/>
      <c r="I99" s="10"/>
    </row>
    <row r="100" spans="1:9" x14ac:dyDescent="0.2">
      <c r="A100" s="10">
        <v>18878</v>
      </c>
      <c r="B100" s="11">
        <v>42410</v>
      </c>
      <c r="C100" s="12">
        <v>279.29000000000002</v>
      </c>
      <c r="D100" s="12">
        <v>21.29</v>
      </c>
      <c r="E100" s="15" t="s">
        <v>570</v>
      </c>
      <c r="H100" s="23"/>
      <c r="I100" s="10"/>
    </row>
    <row r="101" spans="1:9" x14ac:dyDescent="0.2">
      <c r="A101" s="10">
        <v>18879</v>
      </c>
      <c r="B101" s="11">
        <v>42410</v>
      </c>
      <c r="C101" s="12">
        <v>292.27999999999997</v>
      </c>
      <c r="D101" s="12">
        <v>22.28</v>
      </c>
      <c r="E101" s="15" t="s">
        <v>571</v>
      </c>
      <c r="H101" s="23"/>
      <c r="I101" s="10"/>
    </row>
    <row r="102" spans="1:9" x14ac:dyDescent="0.2">
      <c r="A102" s="10">
        <v>18880</v>
      </c>
      <c r="B102" s="11">
        <v>42410</v>
      </c>
      <c r="C102" s="12">
        <v>0</v>
      </c>
      <c r="D102" s="12">
        <v>0</v>
      </c>
      <c r="E102" s="17"/>
      <c r="H102" s="17"/>
      <c r="I102" s="10"/>
    </row>
    <row r="103" spans="1:9" x14ac:dyDescent="0.2">
      <c r="A103" s="10">
        <v>18881</v>
      </c>
      <c r="B103" s="11">
        <v>42410</v>
      </c>
      <c r="C103" s="12">
        <v>28</v>
      </c>
      <c r="D103" s="12"/>
      <c r="E103" s="15" t="s">
        <v>271</v>
      </c>
      <c r="H103" s="23"/>
      <c r="I103" s="10"/>
    </row>
    <row r="104" spans="1:9" x14ac:dyDescent="0.2">
      <c r="A104" s="10">
        <v>18882</v>
      </c>
      <c r="B104" s="11">
        <v>42410</v>
      </c>
      <c r="C104" s="12">
        <v>279.29000000000002</v>
      </c>
      <c r="D104" s="12">
        <v>21.29</v>
      </c>
      <c r="E104" s="13" t="s">
        <v>572</v>
      </c>
      <c r="H104" s="17"/>
      <c r="I104" s="10"/>
    </row>
    <row r="105" spans="1:9" x14ac:dyDescent="0.2">
      <c r="A105" s="10">
        <v>18883</v>
      </c>
      <c r="B105" s="11">
        <v>42410</v>
      </c>
      <c r="C105" s="12">
        <v>40</v>
      </c>
      <c r="D105" s="12"/>
      <c r="E105" s="15" t="s">
        <v>573</v>
      </c>
      <c r="I105" s="10"/>
    </row>
    <row r="106" spans="1:9" x14ac:dyDescent="0.2">
      <c r="A106" s="10">
        <v>18884</v>
      </c>
      <c r="B106" s="11">
        <v>42410</v>
      </c>
      <c r="C106" s="12">
        <v>104</v>
      </c>
      <c r="D106" s="12"/>
      <c r="E106" s="15" t="s">
        <v>25</v>
      </c>
      <c r="I106" s="10"/>
    </row>
    <row r="107" spans="1:9" x14ac:dyDescent="0.2">
      <c r="A107" s="10">
        <v>18885</v>
      </c>
      <c r="B107" s="11">
        <v>42410</v>
      </c>
      <c r="C107" s="12">
        <v>16.170000000000002</v>
      </c>
      <c r="D107" s="12">
        <v>1.23</v>
      </c>
      <c r="E107" s="15" t="s">
        <v>11</v>
      </c>
      <c r="I107" s="10"/>
    </row>
    <row r="108" spans="1:9" x14ac:dyDescent="0.2">
      <c r="A108" s="10">
        <v>18886</v>
      </c>
      <c r="B108" s="11">
        <v>42410</v>
      </c>
      <c r="C108" s="12">
        <v>27.06</v>
      </c>
      <c r="D108" s="12">
        <v>2.06</v>
      </c>
      <c r="E108" s="15" t="s">
        <v>11</v>
      </c>
      <c r="F108" s="21"/>
      <c r="G108" s="22"/>
      <c r="H108" s="23"/>
      <c r="I108" s="10"/>
    </row>
    <row r="109" spans="1:9" x14ac:dyDescent="0.2">
      <c r="A109" s="10">
        <v>18887</v>
      </c>
      <c r="B109" s="11">
        <v>42410</v>
      </c>
      <c r="C109" s="12">
        <v>307.97000000000003</v>
      </c>
      <c r="D109" s="12">
        <v>23.47</v>
      </c>
      <c r="E109" s="15" t="s">
        <v>11</v>
      </c>
      <c r="F109" s="20">
        <f>302.97+C100+C107+C108+18.9+40</f>
        <v>684.38999999999987</v>
      </c>
      <c r="G109" s="20">
        <f>635.76+38.9</f>
        <v>674.66</v>
      </c>
      <c r="H109" s="15"/>
      <c r="I109" s="10"/>
    </row>
    <row r="110" spans="1:9" x14ac:dyDescent="0.2">
      <c r="A110" s="10">
        <v>18888</v>
      </c>
      <c r="B110" s="11">
        <v>42411</v>
      </c>
      <c r="C110" s="12">
        <v>15.16</v>
      </c>
      <c r="D110" s="12">
        <v>1.1599999999999999</v>
      </c>
      <c r="E110" s="17"/>
      <c r="F110" s="18"/>
      <c r="G110" s="19"/>
      <c r="H110" s="17"/>
      <c r="I110" s="10"/>
    </row>
    <row r="111" spans="1:9" x14ac:dyDescent="0.2">
      <c r="A111" s="10">
        <v>18889</v>
      </c>
      <c r="B111" s="11">
        <v>42411</v>
      </c>
      <c r="C111" s="12">
        <v>74.69</v>
      </c>
      <c r="D111" s="12">
        <v>5.69</v>
      </c>
      <c r="E111" s="15"/>
      <c r="H111" s="23"/>
      <c r="I111" s="10"/>
    </row>
    <row r="112" spans="1:9" x14ac:dyDescent="0.2">
      <c r="A112" s="10">
        <v>18890</v>
      </c>
      <c r="B112" s="11">
        <v>42411</v>
      </c>
      <c r="C112" s="12">
        <v>134.22999999999999</v>
      </c>
      <c r="D112" s="12">
        <v>10.23</v>
      </c>
      <c r="E112" s="15" t="s">
        <v>11</v>
      </c>
      <c r="H112" s="23"/>
      <c r="I112" s="10"/>
    </row>
    <row r="113" spans="1:9" x14ac:dyDescent="0.2">
      <c r="A113" s="10">
        <v>18891</v>
      </c>
      <c r="B113" s="11">
        <v>42411</v>
      </c>
      <c r="C113" s="12">
        <v>16.43</v>
      </c>
      <c r="D113" s="12"/>
      <c r="E113" s="15" t="s">
        <v>368</v>
      </c>
      <c r="H113" s="23"/>
      <c r="I113" s="10"/>
    </row>
    <row r="114" spans="1:9" x14ac:dyDescent="0.2">
      <c r="A114" s="10">
        <v>18892</v>
      </c>
      <c r="B114" s="11">
        <v>42411</v>
      </c>
      <c r="C114" s="12">
        <v>332</v>
      </c>
      <c r="D114" s="12">
        <v>25.3</v>
      </c>
      <c r="E114" s="17"/>
      <c r="F114" s="18"/>
      <c r="G114" s="19"/>
      <c r="H114" s="17"/>
      <c r="I114" s="10"/>
    </row>
    <row r="115" spans="1:9" x14ac:dyDescent="0.2">
      <c r="A115" s="10">
        <v>18893</v>
      </c>
      <c r="B115" s="11">
        <v>42411</v>
      </c>
      <c r="C115" s="12">
        <v>272.25</v>
      </c>
      <c r="D115" s="12">
        <v>20.75</v>
      </c>
      <c r="E115" s="15" t="s">
        <v>11</v>
      </c>
      <c r="H115" s="23"/>
      <c r="I115" s="10"/>
    </row>
    <row r="116" spans="1:9" x14ac:dyDescent="0.2">
      <c r="A116" s="10">
        <v>18894</v>
      </c>
      <c r="B116" s="11">
        <v>42411</v>
      </c>
      <c r="C116" s="12">
        <v>255.41999999999996</v>
      </c>
      <c r="D116" s="12">
        <v>19.47</v>
      </c>
      <c r="E116" s="15" t="s">
        <v>11</v>
      </c>
      <c r="H116" s="23"/>
      <c r="I116" s="10"/>
    </row>
    <row r="117" spans="1:9" x14ac:dyDescent="0.2">
      <c r="A117" s="10">
        <v>18895</v>
      </c>
      <c r="B117" s="11">
        <v>42411</v>
      </c>
      <c r="C117" s="12">
        <v>12.45</v>
      </c>
      <c r="D117" s="12">
        <v>0.95</v>
      </c>
      <c r="E117" s="17"/>
      <c r="F117" s="18"/>
      <c r="G117" s="19"/>
      <c r="H117" s="17"/>
      <c r="I117" s="10"/>
    </row>
    <row r="118" spans="1:9" x14ac:dyDescent="0.2">
      <c r="A118" s="10">
        <v>18896</v>
      </c>
      <c r="B118" s="11">
        <v>42411</v>
      </c>
      <c r="C118" s="12">
        <v>0</v>
      </c>
      <c r="D118" s="12">
        <v>0</v>
      </c>
      <c r="E118" s="17"/>
      <c r="H118" s="17"/>
      <c r="I118" s="10"/>
    </row>
    <row r="119" spans="1:9" x14ac:dyDescent="0.2">
      <c r="A119" s="10">
        <v>18897</v>
      </c>
      <c r="B119" s="11">
        <v>42411</v>
      </c>
      <c r="C119" s="12">
        <v>93.1</v>
      </c>
      <c r="D119" s="12">
        <v>7.1</v>
      </c>
      <c r="E119" s="17"/>
      <c r="F119" s="20">
        <f>+C112+C113+107.79+C115+C116+C109</f>
        <v>1094.0900000000001</v>
      </c>
      <c r="G119" s="20">
        <v>1084.8</v>
      </c>
      <c r="H119" s="17"/>
      <c r="I119" s="10"/>
    </row>
    <row r="120" spans="1:9" x14ac:dyDescent="0.2">
      <c r="A120" s="10">
        <v>18898</v>
      </c>
      <c r="B120" s="11">
        <v>42412</v>
      </c>
      <c r="C120" s="12">
        <v>8.66</v>
      </c>
      <c r="D120" s="12">
        <v>0.66</v>
      </c>
      <c r="E120" s="17"/>
      <c r="F120" s="201"/>
      <c r="G120" s="201"/>
      <c r="H120" s="17"/>
      <c r="I120" s="10"/>
    </row>
    <row r="121" spans="1:9" x14ac:dyDescent="0.2">
      <c r="A121" s="10">
        <v>18899</v>
      </c>
      <c r="B121" s="11">
        <v>42412</v>
      </c>
      <c r="C121" s="12">
        <v>96.34</v>
      </c>
      <c r="D121" s="12">
        <v>7.34</v>
      </c>
      <c r="E121" s="17"/>
      <c r="F121" s="201"/>
      <c r="G121" s="201"/>
      <c r="H121" s="17"/>
      <c r="I121" s="10"/>
    </row>
    <row r="122" spans="1:9" x14ac:dyDescent="0.2">
      <c r="A122" s="10">
        <v>18900</v>
      </c>
      <c r="B122" s="11">
        <v>42412</v>
      </c>
      <c r="C122" s="12">
        <v>75.36</v>
      </c>
      <c r="D122" s="12">
        <v>5.74</v>
      </c>
      <c r="E122" s="15" t="s">
        <v>11</v>
      </c>
      <c r="F122" s="202"/>
      <c r="G122" s="202"/>
      <c r="H122" s="23"/>
      <c r="I122" s="10"/>
    </row>
    <row r="123" spans="1:9" x14ac:dyDescent="0.2">
      <c r="A123" s="10">
        <v>18901</v>
      </c>
      <c r="B123" s="11">
        <v>42412</v>
      </c>
      <c r="C123" s="12">
        <v>84.44</v>
      </c>
      <c r="D123" s="12">
        <v>6.44</v>
      </c>
      <c r="E123" s="15" t="s">
        <v>11</v>
      </c>
      <c r="F123" s="202"/>
      <c r="G123" s="202"/>
      <c r="H123" s="23"/>
      <c r="I123" s="10"/>
    </row>
    <row r="124" spans="1:9" x14ac:dyDescent="0.2">
      <c r="A124" s="10">
        <v>18902</v>
      </c>
      <c r="B124" s="11">
        <v>42412</v>
      </c>
      <c r="C124" s="12">
        <v>47.09</v>
      </c>
      <c r="D124" s="12">
        <v>3.59</v>
      </c>
      <c r="E124" s="17"/>
      <c r="F124" s="201"/>
      <c r="G124" s="201"/>
      <c r="H124" s="17"/>
      <c r="I124" s="10"/>
    </row>
    <row r="125" spans="1:9" x14ac:dyDescent="0.2">
      <c r="A125" s="10">
        <v>18903</v>
      </c>
      <c r="B125" s="11">
        <v>42412</v>
      </c>
      <c r="C125" s="12">
        <v>188.36</v>
      </c>
      <c r="D125" s="12">
        <v>14.36</v>
      </c>
      <c r="E125" s="17"/>
      <c r="H125" s="17"/>
      <c r="I125" s="10"/>
    </row>
    <row r="126" spans="1:9" x14ac:dyDescent="0.2">
      <c r="A126" s="10">
        <v>18904</v>
      </c>
      <c r="B126" s="11">
        <v>42412</v>
      </c>
      <c r="C126" s="12">
        <v>91</v>
      </c>
      <c r="D126" s="12"/>
      <c r="E126" s="13" t="s">
        <v>40</v>
      </c>
      <c r="H126" s="17"/>
      <c r="I126" s="10"/>
    </row>
    <row r="127" spans="1:9" x14ac:dyDescent="0.2">
      <c r="A127" s="10">
        <v>18905</v>
      </c>
      <c r="B127" s="11">
        <v>42412</v>
      </c>
      <c r="C127" s="12">
        <v>84.44</v>
      </c>
      <c r="D127" s="12">
        <v>6.44</v>
      </c>
      <c r="E127" s="15" t="s">
        <v>11</v>
      </c>
      <c r="F127" s="21"/>
      <c r="G127" s="22"/>
      <c r="H127" s="23"/>
      <c r="I127" s="10"/>
    </row>
    <row r="128" spans="1:9" x14ac:dyDescent="0.2">
      <c r="A128" s="10">
        <v>18906</v>
      </c>
      <c r="B128" s="11">
        <v>42412</v>
      </c>
      <c r="C128" s="12">
        <v>96.34</v>
      </c>
      <c r="D128" s="12">
        <v>7.34</v>
      </c>
      <c r="E128" s="15" t="s">
        <v>11</v>
      </c>
      <c r="I128" s="10"/>
    </row>
    <row r="129" spans="1:9" x14ac:dyDescent="0.2">
      <c r="A129" s="10">
        <v>18907</v>
      </c>
      <c r="B129" s="11">
        <v>42412</v>
      </c>
      <c r="C129" s="12">
        <v>6.5</v>
      </c>
      <c r="D129" s="12">
        <v>0.5</v>
      </c>
      <c r="E129" s="15" t="s">
        <v>11</v>
      </c>
      <c r="I129" s="10"/>
    </row>
    <row r="130" spans="1:9" x14ac:dyDescent="0.2">
      <c r="A130" s="10">
        <v>18908</v>
      </c>
      <c r="B130" s="11">
        <v>42412</v>
      </c>
      <c r="C130" s="12">
        <v>31.000000000000004</v>
      </c>
      <c r="D130" s="12">
        <v>2.37</v>
      </c>
      <c r="E130" s="15" t="s">
        <v>11</v>
      </c>
      <c r="I130" s="10"/>
    </row>
    <row r="131" spans="1:9" x14ac:dyDescent="0.2">
      <c r="A131" s="10">
        <v>18909</v>
      </c>
      <c r="B131" s="11">
        <v>42412</v>
      </c>
      <c r="C131" s="12">
        <v>27.06</v>
      </c>
      <c r="D131" s="12">
        <v>2.06</v>
      </c>
      <c r="E131" s="17"/>
      <c r="I131" s="10"/>
    </row>
    <row r="132" spans="1:9" x14ac:dyDescent="0.2">
      <c r="A132" s="10">
        <v>18910</v>
      </c>
      <c r="B132" s="11">
        <v>42412</v>
      </c>
      <c r="C132" s="12">
        <v>3.25</v>
      </c>
      <c r="D132" s="12"/>
      <c r="E132" s="15" t="s">
        <v>574</v>
      </c>
      <c r="I132" s="10"/>
    </row>
    <row r="133" spans="1:9" x14ac:dyDescent="0.2">
      <c r="A133" s="10">
        <v>18911</v>
      </c>
      <c r="B133" s="11">
        <v>42412</v>
      </c>
      <c r="C133" s="12">
        <v>115.83</v>
      </c>
      <c r="D133" s="12">
        <v>8.83</v>
      </c>
      <c r="E133" s="15" t="s">
        <v>26</v>
      </c>
      <c r="I133" s="10"/>
    </row>
    <row r="134" spans="1:9" x14ac:dyDescent="0.2">
      <c r="A134" s="10">
        <v>18912</v>
      </c>
      <c r="B134" s="11">
        <v>42412</v>
      </c>
      <c r="C134" s="12">
        <v>85</v>
      </c>
      <c r="D134" s="12">
        <v>6.48</v>
      </c>
      <c r="E134" s="17"/>
      <c r="I134" s="10"/>
    </row>
    <row r="135" spans="1:9" x14ac:dyDescent="0.2">
      <c r="A135" s="10">
        <v>18913</v>
      </c>
      <c r="B135" s="11">
        <v>42412</v>
      </c>
      <c r="C135" s="12">
        <v>33.56</v>
      </c>
      <c r="D135" s="12">
        <v>2.56</v>
      </c>
      <c r="E135" s="15" t="s">
        <v>7</v>
      </c>
      <c r="F135" s="21"/>
      <c r="G135" s="22"/>
      <c r="H135" s="23"/>
      <c r="I135" s="10"/>
    </row>
    <row r="136" spans="1:9" x14ac:dyDescent="0.2">
      <c r="A136" s="10">
        <v>18914</v>
      </c>
      <c r="B136" s="11">
        <v>42412</v>
      </c>
      <c r="C136" s="12">
        <v>66.03</v>
      </c>
      <c r="D136" s="12">
        <v>5.03</v>
      </c>
      <c r="E136" s="13"/>
      <c r="I136" s="10"/>
    </row>
    <row r="137" spans="1:9" x14ac:dyDescent="0.2">
      <c r="A137" s="10">
        <v>18915</v>
      </c>
      <c r="B137" s="11">
        <v>42412</v>
      </c>
      <c r="C137" s="12">
        <v>919.95</v>
      </c>
      <c r="D137" s="12"/>
      <c r="E137" s="15" t="s">
        <v>566</v>
      </c>
      <c r="F137" s="20">
        <f>+C122+C123+C127+C128+C129+C130+C135+1000.12</f>
        <v>1411.76</v>
      </c>
      <c r="G137" s="20">
        <f>405.34+972.62</f>
        <v>1377.96</v>
      </c>
      <c r="H137" s="15"/>
      <c r="I137" s="10"/>
    </row>
    <row r="138" spans="1:9" x14ac:dyDescent="0.2">
      <c r="A138" s="10">
        <v>18916</v>
      </c>
      <c r="B138" s="11">
        <v>42413</v>
      </c>
      <c r="C138" s="12">
        <v>7.11</v>
      </c>
      <c r="D138" s="12"/>
      <c r="E138" s="15" t="s">
        <v>368</v>
      </c>
      <c r="H138" s="23"/>
      <c r="I138" s="10"/>
    </row>
    <row r="139" spans="1:9" x14ac:dyDescent="0.2">
      <c r="A139" s="10">
        <v>18917</v>
      </c>
      <c r="B139" s="11">
        <v>42413</v>
      </c>
      <c r="C139" s="12">
        <v>55.21</v>
      </c>
      <c r="D139" s="12">
        <v>4.21</v>
      </c>
      <c r="E139" s="17"/>
      <c r="F139" s="18"/>
      <c r="G139" s="19"/>
      <c r="H139" s="17"/>
      <c r="I139" s="10"/>
    </row>
    <row r="140" spans="1:9" x14ac:dyDescent="0.2">
      <c r="A140" s="10">
        <v>18918</v>
      </c>
      <c r="B140" s="11">
        <v>42413</v>
      </c>
      <c r="C140" s="12">
        <v>9.5</v>
      </c>
      <c r="D140" s="12"/>
      <c r="E140" s="15" t="s">
        <v>25</v>
      </c>
      <c r="H140" s="23"/>
      <c r="I140" s="10"/>
    </row>
    <row r="141" spans="1:9" x14ac:dyDescent="0.2">
      <c r="A141" s="10">
        <v>18919</v>
      </c>
      <c r="B141" s="11">
        <v>42413</v>
      </c>
      <c r="C141" s="12">
        <v>70</v>
      </c>
      <c r="D141" s="12">
        <v>5.33</v>
      </c>
      <c r="E141" s="17"/>
      <c r="F141" s="18"/>
      <c r="G141" s="19"/>
      <c r="H141" s="17"/>
      <c r="I141" s="10"/>
    </row>
    <row r="142" spans="1:9" x14ac:dyDescent="0.2">
      <c r="A142" s="10">
        <v>18920</v>
      </c>
      <c r="B142" s="11">
        <v>42413</v>
      </c>
      <c r="C142" s="12">
        <v>15.91</v>
      </c>
      <c r="D142" s="12">
        <v>1.21</v>
      </c>
      <c r="E142" s="15" t="s">
        <v>11</v>
      </c>
      <c r="F142" s="21"/>
      <c r="G142" s="22"/>
      <c r="H142" s="23"/>
      <c r="I142" s="10"/>
    </row>
    <row r="143" spans="1:9" x14ac:dyDescent="0.2">
      <c r="A143" s="10">
        <v>18921</v>
      </c>
      <c r="B143" s="11">
        <v>42413</v>
      </c>
      <c r="C143" s="12">
        <v>11.91</v>
      </c>
      <c r="D143" s="12">
        <v>0.91</v>
      </c>
      <c r="E143" s="13"/>
      <c r="F143" s="18"/>
      <c r="G143" s="19"/>
      <c r="H143" s="17"/>
      <c r="I143" s="10"/>
    </row>
    <row r="144" spans="1:9" x14ac:dyDescent="0.2">
      <c r="A144" s="10">
        <v>18922</v>
      </c>
      <c r="B144" s="11">
        <v>42413</v>
      </c>
      <c r="C144" s="12">
        <v>15.45</v>
      </c>
      <c r="D144" s="12"/>
      <c r="E144" s="15" t="s">
        <v>21</v>
      </c>
      <c r="H144" s="23"/>
      <c r="I144" s="10"/>
    </row>
    <row r="145" spans="1:9" x14ac:dyDescent="0.2">
      <c r="A145" s="10">
        <v>18923</v>
      </c>
      <c r="B145" s="11">
        <v>42413</v>
      </c>
      <c r="C145" s="12">
        <v>8.66</v>
      </c>
      <c r="D145" s="12">
        <v>0.66</v>
      </c>
      <c r="E145" s="17"/>
      <c r="F145" s="18"/>
      <c r="G145" s="19"/>
      <c r="H145" s="17"/>
      <c r="I145" s="10"/>
    </row>
    <row r="146" spans="1:9" x14ac:dyDescent="0.2">
      <c r="A146" s="10">
        <v>18924</v>
      </c>
      <c r="B146" s="11">
        <v>42413</v>
      </c>
      <c r="C146" s="12">
        <v>29.23</v>
      </c>
      <c r="D146" s="12">
        <v>2.23</v>
      </c>
      <c r="E146" s="17"/>
      <c r="H146" s="17"/>
      <c r="I146" s="10"/>
    </row>
    <row r="147" spans="1:9" x14ac:dyDescent="0.2">
      <c r="A147" s="10">
        <v>18925</v>
      </c>
      <c r="B147" s="11">
        <v>42413</v>
      </c>
      <c r="C147" s="12">
        <v>74.69</v>
      </c>
      <c r="D147" s="12">
        <v>5.69</v>
      </c>
      <c r="E147" s="15" t="s">
        <v>11</v>
      </c>
      <c r="F147" s="21"/>
      <c r="G147" s="22"/>
      <c r="H147" s="23"/>
      <c r="I147" s="10"/>
    </row>
    <row r="148" spans="1:9" x14ac:dyDescent="0.2">
      <c r="A148" s="10">
        <v>18926</v>
      </c>
      <c r="B148" s="11">
        <v>42413</v>
      </c>
      <c r="C148" s="12">
        <v>5.36</v>
      </c>
      <c r="D148" s="12">
        <v>0.41</v>
      </c>
      <c r="E148" s="13"/>
      <c r="F148" s="18"/>
      <c r="G148" s="19"/>
      <c r="H148" s="17"/>
      <c r="I148" s="10"/>
    </row>
    <row r="149" spans="1:9" x14ac:dyDescent="0.2">
      <c r="A149" s="10">
        <v>18927</v>
      </c>
      <c r="B149" s="11">
        <v>42413</v>
      </c>
      <c r="C149" s="12">
        <v>59.54</v>
      </c>
      <c r="D149" s="12">
        <v>4.54</v>
      </c>
      <c r="E149" s="15" t="s">
        <v>11</v>
      </c>
      <c r="F149" s="21"/>
      <c r="G149" s="22"/>
      <c r="H149" s="23"/>
      <c r="I149" s="10"/>
    </row>
    <row r="150" spans="1:9" x14ac:dyDescent="0.2">
      <c r="A150" s="10">
        <v>18928</v>
      </c>
      <c r="B150" s="11">
        <v>42413</v>
      </c>
      <c r="C150" s="12">
        <v>18.900000000000002</v>
      </c>
      <c r="D150" s="12">
        <v>1.44</v>
      </c>
      <c r="E150" s="15" t="s">
        <v>575</v>
      </c>
      <c r="F150" s="21"/>
      <c r="G150" s="22"/>
      <c r="H150" s="23"/>
      <c r="I150" s="10"/>
    </row>
    <row r="151" spans="1:9" x14ac:dyDescent="0.2">
      <c r="A151" s="10">
        <v>18929</v>
      </c>
      <c r="B151" s="11">
        <v>42413</v>
      </c>
      <c r="C151" s="12">
        <v>7.58</v>
      </c>
      <c r="D151" s="12">
        <v>0.57999999999999996</v>
      </c>
      <c r="E151" s="15" t="s">
        <v>11</v>
      </c>
      <c r="F151" s="21"/>
      <c r="G151" s="22"/>
      <c r="H151" s="23"/>
      <c r="I151" s="10"/>
    </row>
    <row r="152" spans="1:9" x14ac:dyDescent="0.2">
      <c r="A152" s="10">
        <v>18930</v>
      </c>
      <c r="B152" s="11">
        <v>42413</v>
      </c>
      <c r="C152" s="12">
        <v>97.43</v>
      </c>
      <c r="D152" s="12">
        <v>7.43</v>
      </c>
      <c r="E152" s="15" t="s">
        <v>21</v>
      </c>
      <c r="F152" s="21"/>
      <c r="G152" s="22"/>
      <c r="H152" s="23"/>
      <c r="I152" s="10"/>
    </row>
    <row r="153" spans="1:9" x14ac:dyDescent="0.2">
      <c r="A153" s="10">
        <v>18931</v>
      </c>
      <c r="B153" s="11">
        <v>42413</v>
      </c>
      <c r="C153" s="12">
        <v>520.67999999999995</v>
      </c>
      <c r="D153" s="12">
        <v>39.68</v>
      </c>
      <c r="E153" s="15" t="s">
        <v>11</v>
      </c>
      <c r="F153" s="21"/>
      <c r="G153" s="22"/>
      <c r="H153" s="23"/>
      <c r="I153" s="10"/>
    </row>
    <row r="154" spans="1:9" x14ac:dyDescent="0.2">
      <c r="A154" s="10">
        <v>18932</v>
      </c>
      <c r="B154" s="11">
        <v>42413</v>
      </c>
      <c r="C154" s="12">
        <v>42.22</v>
      </c>
      <c r="D154" s="12">
        <v>3.22</v>
      </c>
      <c r="E154" s="13"/>
      <c r="F154" s="18"/>
      <c r="G154" s="19"/>
      <c r="H154" s="17"/>
      <c r="I154" s="10"/>
    </row>
    <row r="155" spans="1:9" x14ac:dyDescent="0.2">
      <c r="A155" s="10">
        <v>18933</v>
      </c>
      <c r="B155" s="11">
        <v>42413</v>
      </c>
      <c r="C155" s="12">
        <v>20</v>
      </c>
      <c r="D155" s="12">
        <v>1.52</v>
      </c>
      <c r="E155" s="13"/>
      <c r="F155" s="18"/>
      <c r="G155" s="19"/>
      <c r="H155" s="17"/>
      <c r="I155" s="10"/>
    </row>
    <row r="156" spans="1:9" x14ac:dyDescent="0.2">
      <c r="A156" s="10">
        <v>18934</v>
      </c>
      <c r="B156" s="11">
        <v>42413</v>
      </c>
      <c r="C156" s="12">
        <v>249.41</v>
      </c>
      <c r="D156" s="12">
        <v>19.010000000000002</v>
      </c>
      <c r="E156" s="13"/>
      <c r="F156" s="18"/>
      <c r="G156" s="19"/>
      <c r="H156" s="17"/>
      <c r="I156" s="10"/>
    </row>
    <row r="157" spans="1:9" x14ac:dyDescent="0.2">
      <c r="A157" s="10">
        <v>18935</v>
      </c>
      <c r="B157" s="11">
        <v>42413</v>
      </c>
      <c r="C157" s="12">
        <v>16.170000000000002</v>
      </c>
      <c r="D157" s="12">
        <v>1.23</v>
      </c>
      <c r="E157" s="15" t="s">
        <v>11</v>
      </c>
      <c r="F157" s="21"/>
      <c r="G157" s="22"/>
      <c r="H157" s="23"/>
      <c r="I157" s="10"/>
    </row>
    <row r="158" spans="1:9" x14ac:dyDescent="0.2">
      <c r="A158" s="10">
        <v>18936</v>
      </c>
      <c r="B158" s="11">
        <v>42413</v>
      </c>
      <c r="C158" s="12">
        <v>123.41</v>
      </c>
      <c r="D158" s="12">
        <v>9.41</v>
      </c>
      <c r="E158" s="15" t="s">
        <v>11</v>
      </c>
      <c r="F158" s="21"/>
      <c r="G158" s="22"/>
      <c r="H158" s="23"/>
      <c r="I158" s="10"/>
    </row>
    <row r="159" spans="1:9" x14ac:dyDescent="0.2">
      <c r="A159" s="10">
        <v>18937</v>
      </c>
      <c r="B159" s="11">
        <v>42413</v>
      </c>
      <c r="C159" s="12">
        <v>163.94</v>
      </c>
      <c r="D159" s="12">
        <v>12.49</v>
      </c>
      <c r="E159" s="15" t="s">
        <v>7</v>
      </c>
      <c r="H159" s="23"/>
      <c r="I159" s="10"/>
    </row>
    <row r="160" spans="1:9" x14ac:dyDescent="0.2">
      <c r="A160" s="10">
        <v>18938</v>
      </c>
      <c r="B160" s="11">
        <v>42413</v>
      </c>
      <c r="C160" s="12">
        <v>8.66</v>
      </c>
      <c r="D160" s="12">
        <v>0.66</v>
      </c>
      <c r="E160" s="17"/>
      <c r="F160" s="18"/>
      <c r="G160" s="19"/>
      <c r="H160" s="17"/>
      <c r="I160" s="10"/>
    </row>
    <row r="161" spans="1:9" x14ac:dyDescent="0.2">
      <c r="A161" s="10">
        <v>18939</v>
      </c>
      <c r="B161" s="11">
        <v>42413</v>
      </c>
      <c r="C161" s="12">
        <v>10</v>
      </c>
      <c r="D161" s="12"/>
      <c r="E161" s="13" t="s">
        <v>19</v>
      </c>
      <c r="H161" s="17"/>
      <c r="I161" s="10"/>
    </row>
    <row r="162" spans="1:9" x14ac:dyDescent="0.2">
      <c r="A162" s="10">
        <v>18940</v>
      </c>
      <c r="B162" s="11">
        <v>42413</v>
      </c>
      <c r="C162" s="12">
        <v>151.55000000000001</v>
      </c>
      <c r="D162" s="12">
        <v>11.55</v>
      </c>
      <c r="E162" s="15" t="s">
        <v>21</v>
      </c>
      <c r="F162" s="21"/>
      <c r="G162" s="22"/>
      <c r="H162" s="23"/>
      <c r="I162" s="10"/>
    </row>
    <row r="163" spans="1:9" x14ac:dyDescent="0.2">
      <c r="A163" s="10">
        <v>18941</v>
      </c>
      <c r="B163" s="11">
        <v>42413</v>
      </c>
      <c r="C163" s="12">
        <v>310</v>
      </c>
      <c r="D163" s="12">
        <v>23.63</v>
      </c>
      <c r="E163" s="15" t="s">
        <v>576</v>
      </c>
      <c r="F163" s="20">
        <f>+C138+C142+C147+C149+C151+C153+C157+C158</f>
        <v>825.08999999999992</v>
      </c>
      <c r="G163" s="20">
        <v>818.78</v>
      </c>
      <c r="H163" s="23"/>
      <c r="I163" s="10"/>
    </row>
    <row r="164" spans="1:9" x14ac:dyDescent="0.2">
      <c r="A164" s="10">
        <v>18942</v>
      </c>
      <c r="B164" s="11">
        <v>42415</v>
      </c>
      <c r="C164" s="12">
        <v>10.83</v>
      </c>
      <c r="D164" s="12">
        <v>0.83</v>
      </c>
      <c r="E164" s="17"/>
      <c r="F164" s="18"/>
      <c r="G164" s="19"/>
      <c r="H164" s="17"/>
      <c r="I164" s="10"/>
    </row>
    <row r="165" spans="1:9" x14ac:dyDescent="0.2">
      <c r="A165" s="10">
        <v>18943</v>
      </c>
      <c r="B165" s="11">
        <v>42415</v>
      </c>
      <c r="C165" s="12">
        <v>32.479999999999997</v>
      </c>
      <c r="D165" s="12">
        <v>2.48</v>
      </c>
      <c r="E165" s="17"/>
      <c r="H165" s="17"/>
      <c r="I165" s="10"/>
    </row>
    <row r="166" spans="1:9" x14ac:dyDescent="0.2">
      <c r="A166" s="10">
        <v>18944</v>
      </c>
      <c r="B166" s="11">
        <v>42415</v>
      </c>
      <c r="C166" s="12">
        <v>21.599999999999998</v>
      </c>
      <c r="D166" s="12">
        <v>1.65</v>
      </c>
      <c r="E166" s="17"/>
      <c r="F166" s="18"/>
      <c r="G166" s="19"/>
      <c r="H166" s="17"/>
      <c r="I166" s="10"/>
    </row>
    <row r="167" spans="1:9" x14ac:dyDescent="0.2">
      <c r="A167" s="10">
        <v>18945</v>
      </c>
      <c r="B167" s="11">
        <v>42415</v>
      </c>
      <c r="C167" s="12">
        <v>10.72</v>
      </c>
      <c r="D167" s="12">
        <v>0.82</v>
      </c>
      <c r="E167" s="15" t="s">
        <v>26</v>
      </c>
      <c r="H167" s="23"/>
      <c r="I167" s="10"/>
    </row>
    <row r="168" spans="1:9" x14ac:dyDescent="0.2">
      <c r="A168" s="10">
        <v>18946</v>
      </c>
      <c r="B168" s="11">
        <v>42415</v>
      </c>
      <c r="C168" s="12">
        <v>156.96</v>
      </c>
      <c r="D168" s="12">
        <v>11.96</v>
      </c>
      <c r="E168" s="15" t="s">
        <v>7</v>
      </c>
      <c r="H168" s="23"/>
      <c r="I168" s="10"/>
    </row>
    <row r="169" spans="1:9" x14ac:dyDescent="0.2">
      <c r="A169" s="10">
        <v>18947</v>
      </c>
      <c r="B169" s="11">
        <v>42415</v>
      </c>
      <c r="C169" s="12">
        <v>76</v>
      </c>
      <c r="D169" s="12"/>
      <c r="E169" s="15" t="s">
        <v>21</v>
      </c>
      <c r="F169" s="21"/>
      <c r="G169" s="22"/>
      <c r="H169" s="23"/>
      <c r="I169" s="10"/>
    </row>
    <row r="170" spans="1:9" x14ac:dyDescent="0.2">
      <c r="A170" s="10">
        <v>18948</v>
      </c>
      <c r="B170" s="11">
        <v>42415</v>
      </c>
      <c r="C170" s="12">
        <v>43.3</v>
      </c>
      <c r="D170" s="12">
        <v>3.3</v>
      </c>
      <c r="E170" s="17"/>
      <c r="H170" s="17"/>
      <c r="I170" s="10"/>
    </row>
    <row r="171" spans="1:9" x14ac:dyDescent="0.2">
      <c r="A171" s="10">
        <v>18949</v>
      </c>
      <c r="B171" s="11">
        <v>42415</v>
      </c>
      <c r="C171" s="12">
        <v>124.4875</v>
      </c>
      <c r="D171" s="12">
        <v>9.4875000000000007</v>
      </c>
      <c r="E171" s="17"/>
      <c r="H171" s="17"/>
      <c r="I171" s="10"/>
    </row>
    <row r="172" spans="1:9" x14ac:dyDescent="0.2">
      <c r="A172" s="10">
        <v>18950</v>
      </c>
      <c r="B172" s="11">
        <v>42415</v>
      </c>
      <c r="C172" s="12">
        <v>27</v>
      </c>
      <c r="D172" s="12"/>
      <c r="E172" s="13" t="s">
        <v>8</v>
      </c>
      <c r="F172" s="18"/>
      <c r="G172" s="19"/>
      <c r="H172" s="17"/>
      <c r="I172" s="10"/>
    </row>
    <row r="173" spans="1:9" x14ac:dyDescent="0.2">
      <c r="A173" s="10">
        <v>18951</v>
      </c>
      <c r="B173" s="11">
        <v>42415</v>
      </c>
      <c r="C173" s="12">
        <v>401.61</v>
      </c>
      <c r="D173" s="12">
        <v>30.61</v>
      </c>
      <c r="E173" s="13" t="s">
        <v>577</v>
      </c>
      <c r="F173" s="20">
        <f>140.73+C168+3.3+C159</f>
        <v>464.93</v>
      </c>
      <c r="G173" s="20">
        <v>459.48</v>
      </c>
      <c r="H173" s="17"/>
      <c r="I173" s="10"/>
    </row>
    <row r="174" spans="1:9" x14ac:dyDescent="0.2">
      <c r="A174" s="10">
        <v>18952</v>
      </c>
      <c r="B174" s="11">
        <v>42416</v>
      </c>
      <c r="C174" s="12">
        <v>27.06</v>
      </c>
      <c r="D174" s="12">
        <v>2.06</v>
      </c>
      <c r="E174" s="15" t="s">
        <v>7</v>
      </c>
      <c r="H174" s="23"/>
      <c r="I174" s="10"/>
    </row>
    <row r="175" spans="1:9" x14ac:dyDescent="0.2">
      <c r="A175" s="10">
        <v>18953</v>
      </c>
      <c r="B175" s="11">
        <v>42416</v>
      </c>
      <c r="C175" s="12">
        <v>13</v>
      </c>
      <c r="D175" s="12"/>
      <c r="E175" s="15" t="s">
        <v>578</v>
      </c>
      <c r="H175" s="23"/>
      <c r="I175" s="10"/>
    </row>
    <row r="176" spans="1:9" x14ac:dyDescent="0.2">
      <c r="A176" s="10">
        <v>18954</v>
      </c>
      <c r="B176" s="11">
        <v>42416</v>
      </c>
      <c r="C176" s="12">
        <v>21.599999999999998</v>
      </c>
      <c r="D176" s="12">
        <v>1.65</v>
      </c>
      <c r="E176" s="17"/>
      <c r="F176" s="18"/>
      <c r="G176" s="19"/>
      <c r="H176" s="17"/>
      <c r="I176" s="10"/>
    </row>
    <row r="177" spans="1:9" x14ac:dyDescent="0.2">
      <c r="A177" s="10">
        <v>18955</v>
      </c>
      <c r="B177" s="11">
        <v>42416</v>
      </c>
      <c r="C177" s="12">
        <v>427.59000000000003</v>
      </c>
      <c r="D177" s="12">
        <v>32.590000000000003</v>
      </c>
      <c r="E177" s="15" t="s">
        <v>26</v>
      </c>
      <c r="F177" s="21"/>
      <c r="G177" s="22"/>
      <c r="H177" s="23"/>
      <c r="I177" s="10"/>
    </row>
    <row r="178" spans="1:9" x14ac:dyDescent="0.2">
      <c r="A178" s="10">
        <v>18956</v>
      </c>
      <c r="B178" s="11">
        <v>42416</v>
      </c>
      <c r="C178" s="12">
        <v>274.95999999999998</v>
      </c>
      <c r="D178" s="12">
        <v>20.96</v>
      </c>
      <c r="E178" s="15" t="s">
        <v>11</v>
      </c>
      <c r="H178" s="23"/>
      <c r="I178" s="10"/>
    </row>
    <row r="179" spans="1:9" x14ac:dyDescent="0.2">
      <c r="A179" s="10">
        <v>18957</v>
      </c>
      <c r="B179" s="11">
        <v>42416</v>
      </c>
      <c r="C179" s="12">
        <v>59.54</v>
      </c>
      <c r="D179" s="12">
        <v>4.54</v>
      </c>
      <c r="E179" s="15" t="s">
        <v>7</v>
      </c>
      <c r="F179" s="21"/>
      <c r="G179" s="22"/>
      <c r="H179" s="23"/>
      <c r="I179" s="10"/>
    </row>
    <row r="180" spans="1:9" x14ac:dyDescent="0.2">
      <c r="A180" s="10">
        <v>18958</v>
      </c>
      <c r="B180" s="11">
        <v>42416</v>
      </c>
      <c r="C180" s="12">
        <v>54.13</v>
      </c>
      <c r="D180" s="12">
        <v>4.13</v>
      </c>
      <c r="E180" s="17"/>
      <c r="F180" s="18"/>
      <c r="G180" s="19"/>
      <c r="H180" s="17"/>
      <c r="I180" s="10"/>
    </row>
    <row r="181" spans="1:9" x14ac:dyDescent="0.2">
      <c r="A181" s="10">
        <v>18959</v>
      </c>
      <c r="B181" s="11">
        <v>42416</v>
      </c>
      <c r="C181" s="12">
        <v>183.80999999999997</v>
      </c>
      <c r="D181" s="12">
        <v>14.01</v>
      </c>
      <c r="E181" s="17"/>
      <c r="F181" s="20">
        <f>+C174+C178+C179+13</f>
        <v>374.56</v>
      </c>
      <c r="G181" s="20">
        <v>370.01</v>
      </c>
      <c r="H181" s="17"/>
      <c r="I181" s="10"/>
    </row>
    <row r="182" spans="1:9" x14ac:dyDescent="0.2">
      <c r="A182" s="10">
        <v>18960</v>
      </c>
      <c r="B182" s="11">
        <v>42417</v>
      </c>
      <c r="C182" s="12">
        <v>45</v>
      </c>
      <c r="D182" s="12">
        <v>3.43</v>
      </c>
      <c r="E182" s="15" t="s">
        <v>11</v>
      </c>
      <c r="F182" s="21"/>
      <c r="G182" s="22"/>
      <c r="H182" s="23"/>
      <c r="I182" s="10"/>
    </row>
    <row r="183" spans="1:9" x14ac:dyDescent="0.2">
      <c r="A183" s="10">
        <v>18961</v>
      </c>
      <c r="B183" s="11">
        <v>42417</v>
      </c>
      <c r="C183" s="12">
        <v>29.23</v>
      </c>
      <c r="D183" s="12">
        <v>2.23</v>
      </c>
      <c r="E183" s="13"/>
      <c r="F183" s="18"/>
      <c r="G183" s="19"/>
      <c r="H183" s="17"/>
      <c r="I183" s="10"/>
    </row>
    <row r="184" spans="1:9" x14ac:dyDescent="0.2">
      <c r="A184" s="10">
        <v>18962</v>
      </c>
      <c r="B184" s="11">
        <v>42417</v>
      </c>
      <c r="C184" s="12">
        <v>249.73</v>
      </c>
      <c r="D184" s="12">
        <v>19.03</v>
      </c>
      <c r="E184" s="15" t="s">
        <v>7</v>
      </c>
      <c r="F184" s="21"/>
      <c r="G184" s="22"/>
      <c r="H184" s="23"/>
      <c r="I184" s="10"/>
    </row>
    <row r="185" spans="1:9" x14ac:dyDescent="0.2">
      <c r="A185" s="10">
        <v>18963</v>
      </c>
      <c r="B185" s="11">
        <v>42417</v>
      </c>
      <c r="C185" s="12">
        <v>244.65</v>
      </c>
      <c r="D185" s="12">
        <v>18.649999999999999</v>
      </c>
      <c r="E185" s="13" t="s">
        <v>579</v>
      </c>
      <c r="F185" s="18"/>
      <c r="G185" s="19"/>
      <c r="H185" s="17"/>
      <c r="I185" s="10"/>
    </row>
    <row r="186" spans="1:9" x14ac:dyDescent="0.2">
      <c r="A186" s="10">
        <v>18964</v>
      </c>
      <c r="B186" s="11">
        <v>42417</v>
      </c>
      <c r="C186" s="12">
        <v>166.16</v>
      </c>
      <c r="D186" s="12">
        <v>12.66</v>
      </c>
      <c r="E186" s="17"/>
      <c r="H186" s="17"/>
      <c r="I186" s="10"/>
    </row>
    <row r="187" spans="1:9" x14ac:dyDescent="0.2">
      <c r="A187" s="10">
        <v>18965</v>
      </c>
      <c r="B187" s="11">
        <v>42417</v>
      </c>
      <c r="C187" s="12">
        <v>181.32</v>
      </c>
      <c r="D187" s="12">
        <v>13.82</v>
      </c>
      <c r="E187" s="15" t="s">
        <v>26</v>
      </c>
      <c r="F187" s="21"/>
      <c r="G187" s="22"/>
      <c r="H187" s="23"/>
      <c r="I187" s="10"/>
    </row>
    <row r="188" spans="1:9" x14ac:dyDescent="0.2">
      <c r="A188" s="10">
        <v>18966</v>
      </c>
      <c r="B188" s="11">
        <v>42417</v>
      </c>
      <c r="C188" s="12">
        <v>36.81</v>
      </c>
      <c r="D188" s="12">
        <v>2.81</v>
      </c>
      <c r="E188" s="13"/>
      <c r="F188" s="18"/>
      <c r="G188" s="19"/>
      <c r="H188" s="17"/>
      <c r="I188" s="10"/>
    </row>
    <row r="189" spans="1:9" x14ac:dyDescent="0.2">
      <c r="A189" s="10">
        <v>18967</v>
      </c>
      <c r="B189" s="11">
        <v>42417</v>
      </c>
      <c r="C189" s="12">
        <v>18</v>
      </c>
      <c r="D189" s="12"/>
      <c r="E189" s="13" t="s">
        <v>411</v>
      </c>
      <c r="F189" s="18"/>
      <c r="G189" s="19"/>
      <c r="H189" s="17"/>
      <c r="I189" s="10"/>
    </row>
    <row r="190" spans="1:9" x14ac:dyDescent="0.2">
      <c r="A190" s="10">
        <v>18968</v>
      </c>
      <c r="B190" s="11">
        <v>42417</v>
      </c>
      <c r="C190" s="12">
        <v>272.25</v>
      </c>
      <c r="D190" s="12">
        <v>20.75</v>
      </c>
      <c r="E190" s="15" t="s">
        <v>7</v>
      </c>
      <c r="H190" s="23"/>
      <c r="I190" s="10"/>
    </row>
    <row r="191" spans="1:9" x14ac:dyDescent="0.2">
      <c r="A191" s="10">
        <v>18969</v>
      </c>
      <c r="B191" s="11">
        <v>42417</v>
      </c>
      <c r="C191" s="12">
        <v>465.48</v>
      </c>
      <c r="D191" s="12">
        <v>35.479999999999997</v>
      </c>
      <c r="E191" s="15" t="s">
        <v>580</v>
      </c>
      <c r="H191" s="23"/>
      <c r="I191" s="10"/>
    </row>
    <row r="192" spans="1:9" x14ac:dyDescent="0.2">
      <c r="A192" s="10">
        <v>18970</v>
      </c>
      <c r="B192" s="11">
        <v>42417</v>
      </c>
      <c r="C192" s="12">
        <v>16.18</v>
      </c>
      <c r="D192" s="12">
        <v>1.23</v>
      </c>
      <c r="E192" s="17"/>
      <c r="F192" s="18"/>
      <c r="G192" s="19"/>
      <c r="H192" s="17"/>
      <c r="I192" s="10"/>
    </row>
    <row r="193" spans="1:9" x14ac:dyDescent="0.2">
      <c r="A193" s="10">
        <v>18971</v>
      </c>
      <c r="B193" s="11">
        <v>42417</v>
      </c>
      <c r="C193" s="12">
        <v>124.49</v>
      </c>
      <c r="D193" s="12">
        <v>9.49</v>
      </c>
      <c r="E193" s="15" t="s">
        <v>7</v>
      </c>
      <c r="F193" s="21"/>
      <c r="G193" s="22"/>
      <c r="H193" s="23"/>
      <c r="I193" s="10"/>
    </row>
    <row r="194" spans="1:9" x14ac:dyDescent="0.2">
      <c r="A194" s="10">
        <v>18972</v>
      </c>
      <c r="B194" s="11">
        <v>42417</v>
      </c>
      <c r="C194" s="12">
        <v>2338</v>
      </c>
      <c r="D194" s="12"/>
      <c r="E194" s="15" t="s">
        <v>17</v>
      </c>
      <c r="H194" s="23"/>
      <c r="I194" s="10"/>
    </row>
    <row r="195" spans="1:9" x14ac:dyDescent="0.2">
      <c r="A195" s="10">
        <v>18973</v>
      </c>
      <c r="B195" s="11">
        <v>42417</v>
      </c>
      <c r="C195" s="12">
        <v>221.91</v>
      </c>
      <c r="D195" s="12">
        <v>16.91</v>
      </c>
      <c r="E195" s="15" t="s">
        <v>581</v>
      </c>
      <c r="H195" s="23"/>
      <c r="I195" s="10"/>
    </row>
    <row r="196" spans="1:9" x14ac:dyDescent="0.2">
      <c r="A196" s="10">
        <v>18974</v>
      </c>
      <c r="B196" s="11">
        <v>42417</v>
      </c>
      <c r="C196" s="12">
        <v>180.13</v>
      </c>
      <c r="D196" s="12">
        <v>13.73</v>
      </c>
      <c r="E196" s="15" t="s">
        <v>7</v>
      </c>
      <c r="H196" s="23"/>
      <c r="I196" s="10"/>
    </row>
    <row r="197" spans="1:9" x14ac:dyDescent="0.2">
      <c r="A197" s="10">
        <v>18975</v>
      </c>
      <c r="B197" s="11">
        <v>42417</v>
      </c>
      <c r="C197" s="12">
        <v>442.57000000000005</v>
      </c>
      <c r="D197" s="12"/>
      <c r="E197" s="15" t="s">
        <v>566</v>
      </c>
      <c r="H197" s="23"/>
      <c r="I197" s="10"/>
    </row>
    <row r="198" spans="1:9" x14ac:dyDescent="0.2">
      <c r="A198" s="10">
        <v>18976</v>
      </c>
      <c r="B198" s="11">
        <v>42417</v>
      </c>
      <c r="C198" s="12">
        <v>130</v>
      </c>
      <c r="D198" s="12"/>
      <c r="E198" s="13" t="s">
        <v>8</v>
      </c>
      <c r="H198" s="17"/>
      <c r="I198" s="10"/>
    </row>
    <row r="199" spans="1:9" x14ac:dyDescent="0.2">
      <c r="A199" s="10">
        <v>18977</v>
      </c>
      <c r="B199" s="11">
        <v>42417</v>
      </c>
      <c r="C199" s="12"/>
      <c r="D199" s="12"/>
      <c r="E199" s="15" t="s">
        <v>582</v>
      </c>
      <c r="H199" s="23"/>
      <c r="I199" s="10"/>
    </row>
    <row r="200" spans="1:9" x14ac:dyDescent="0.2">
      <c r="A200" s="10">
        <v>18978</v>
      </c>
      <c r="B200" s="11">
        <v>42417</v>
      </c>
      <c r="C200" s="12">
        <v>81.19</v>
      </c>
      <c r="D200" s="12">
        <v>6.19</v>
      </c>
      <c r="E200" s="15" t="s">
        <v>11</v>
      </c>
      <c r="F200" s="20">
        <f>+C182+C184+C190+C193+1000+C196+C200+151.55</f>
        <v>2104.34</v>
      </c>
      <c r="G200" s="20">
        <v>2084.29</v>
      </c>
      <c r="H200" s="23"/>
      <c r="I200" s="10"/>
    </row>
    <row r="201" spans="1:9" x14ac:dyDescent="0.2">
      <c r="A201" s="10">
        <v>18979</v>
      </c>
      <c r="B201" s="11">
        <v>42418</v>
      </c>
      <c r="C201" s="12">
        <v>348</v>
      </c>
      <c r="D201" s="12">
        <v>26.52</v>
      </c>
      <c r="E201" s="15" t="s">
        <v>21</v>
      </c>
      <c r="H201" s="23"/>
      <c r="I201" s="10"/>
    </row>
    <row r="202" spans="1:9" x14ac:dyDescent="0.2">
      <c r="A202" s="10">
        <v>18980</v>
      </c>
      <c r="B202" s="11">
        <v>42418</v>
      </c>
      <c r="C202" s="12">
        <v>297.69</v>
      </c>
      <c r="D202" s="12">
        <v>22.69</v>
      </c>
      <c r="E202" s="15" t="s">
        <v>11</v>
      </c>
      <c r="F202" s="21"/>
      <c r="G202" s="22"/>
      <c r="H202" s="23"/>
      <c r="I202" s="10"/>
    </row>
    <row r="203" spans="1:9" x14ac:dyDescent="0.2">
      <c r="A203" s="10">
        <v>18981</v>
      </c>
      <c r="B203" s="11">
        <v>42418</v>
      </c>
      <c r="C203" s="12">
        <v>121.24</v>
      </c>
      <c r="D203" s="12">
        <v>9.24</v>
      </c>
      <c r="E203" s="15" t="s">
        <v>11</v>
      </c>
      <c r="H203" s="23"/>
      <c r="I203" s="10"/>
    </row>
    <row r="204" spans="1:9" x14ac:dyDescent="0.2">
      <c r="A204" s="10">
        <v>18982</v>
      </c>
      <c r="B204" s="11">
        <v>42418</v>
      </c>
      <c r="C204" s="12">
        <v>41.14</v>
      </c>
      <c r="D204" s="12">
        <v>3.14</v>
      </c>
      <c r="E204" s="15" t="s">
        <v>11</v>
      </c>
      <c r="H204" s="23"/>
      <c r="I204" s="10"/>
    </row>
    <row r="205" spans="1:9" x14ac:dyDescent="0.2">
      <c r="A205" s="10">
        <v>18983</v>
      </c>
      <c r="B205" s="11">
        <v>42418</v>
      </c>
      <c r="C205" s="12">
        <v>19.37</v>
      </c>
      <c r="D205" s="12">
        <v>1.48</v>
      </c>
      <c r="E205" s="17"/>
      <c r="F205" s="18"/>
      <c r="G205" s="19"/>
      <c r="H205" s="17"/>
      <c r="I205" s="10"/>
    </row>
    <row r="206" spans="1:9" x14ac:dyDescent="0.2">
      <c r="A206" s="10">
        <v>18984</v>
      </c>
      <c r="B206" s="11">
        <v>42418</v>
      </c>
      <c r="C206" s="12">
        <v>-49.8</v>
      </c>
      <c r="D206" s="12">
        <v>-3.8</v>
      </c>
      <c r="E206" s="17"/>
      <c r="H206" s="17"/>
      <c r="I206" s="10"/>
    </row>
    <row r="207" spans="1:9" x14ac:dyDescent="0.2">
      <c r="A207" s="10">
        <v>18985</v>
      </c>
      <c r="B207" s="11">
        <v>42418</v>
      </c>
      <c r="C207" s="12">
        <v>70.36</v>
      </c>
      <c r="D207" s="12">
        <v>5.36</v>
      </c>
      <c r="E207" s="15" t="s">
        <v>7</v>
      </c>
      <c r="F207" s="21"/>
      <c r="G207" s="22"/>
      <c r="H207" s="23"/>
      <c r="I207" s="10"/>
    </row>
    <row r="208" spans="1:9" x14ac:dyDescent="0.2">
      <c r="A208" s="10">
        <v>18986</v>
      </c>
      <c r="B208" s="11">
        <v>42418</v>
      </c>
      <c r="C208" s="12">
        <v>21.65</v>
      </c>
      <c r="D208" s="12">
        <v>1.65</v>
      </c>
      <c r="E208" s="15" t="s">
        <v>11</v>
      </c>
      <c r="F208" s="21"/>
      <c r="G208" s="22"/>
      <c r="H208" s="23"/>
      <c r="I208" s="10"/>
    </row>
    <row r="209" spans="1:9" x14ac:dyDescent="0.2">
      <c r="A209" s="10">
        <v>18987</v>
      </c>
      <c r="B209" s="11">
        <v>42418</v>
      </c>
      <c r="C209" s="12">
        <v>122</v>
      </c>
      <c r="D209" s="12">
        <v>9.3000000000000007</v>
      </c>
      <c r="E209" s="17"/>
      <c r="H209" s="17"/>
      <c r="I209" s="10"/>
    </row>
    <row r="210" spans="1:9" x14ac:dyDescent="0.2">
      <c r="A210" s="10">
        <v>18988</v>
      </c>
      <c r="B210" s="11">
        <v>42418</v>
      </c>
      <c r="C210" s="12">
        <v>5</v>
      </c>
      <c r="D210" s="12">
        <v>0.38</v>
      </c>
      <c r="E210" s="17"/>
      <c r="F210" s="20">
        <f>+C203+C204+C207+C208+C202+25</f>
        <v>577.08000000000004</v>
      </c>
      <c r="G210" s="20">
        <v>564.85</v>
      </c>
      <c r="H210" s="17"/>
      <c r="I210" s="10"/>
    </row>
    <row r="211" spans="1:9" x14ac:dyDescent="0.2">
      <c r="A211" s="10">
        <v>18989</v>
      </c>
      <c r="B211" s="11">
        <v>42419</v>
      </c>
      <c r="C211" s="12">
        <v>194.85</v>
      </c>
      <c r="D211" s="12">
        <v>14.85</v>
      </c>
      <c r="E211" s="15" t="s">
        <v>11</v>
      </c>
      <c r="F211" s="21"/>
      <c r="G211" s="22"/>
      <c r="H211" s="23"/>
      <c r="I211" s="10"/>
    </row>
    <row r="212" spans="1:9" x14ac:dyDescent="0.2">
      <c r="A212" s="10">
        <v>18990</v>
      </c>
      <c r="B212" s="11">
        <v>42419</v>
      </c>
      <c r="C212" s="12">
        <v>43.3</v>
      </c>
      <c r="D212" s="12">
        <v>3.3</v>
      </c>
      <c r="E212" s="15" t="s">
        <v>11</v>
      </c>
      <c r="H212" s="23"/>
      <c r="I212" s="10"/>
    </row>
    <row r="213" spans="1:9" x14ac:dyDescent="0.2">
      <c r="A213" s="10">
        <v>18991</v>
      </c>
      <c r="B213" s="11">
        <v>42419</v>
      </c>
      <c r="C213" s="12">
        <v>180.45</v>
      </c>
      <c r="D213" s="12">
        <v>13.75</v>
      </c>
      <c r="E213" s="17"/>
      <c r="F213" s="18"/>
      <c r="G213" s="19"/>
      <c r="H213" s="17"/>
      <c r="I213" s="10"/>
    </row>
    <row r="214" spans="1:9" x14ac:dyDescent="0.2">
      <c r="A214" s="10">
        <v>18992</v>
      </c>
      <c r="B214" s="11">
        <v>42419</v>
      </c>
      <c r="C214" s="12">
        <v>77.94</v>
      </c>
      <c r="D214" s="12">
        <v>5.94</v>
      </c>
      <c r="E214" s="17"/>
      <c r="H214" s="17"/>
      <c r="I214" s="10"/>
    </row>
    <row r="215" spans="1:9" x14ac:dyDescent="0.2">
      <c r="A215" s="10">
        <v>18993</v>
      </c>
      <c r="B215" s="11">
        <v>42419</v>
      </c>
      <c r="C215" s="12">
        <v>20.57</v>
      </c>
      <c r="D215" s="12">
        <v>1.57</v>
      </c>
      <c r="E215" s="15" t="s">
        <v>11</v>
      </c>
      <c r="F215" s="21"/>
      <c r="G215" s="22"/>
      <c r="H215" s="23"/>
      <c r="I215" s="10"/>
    </row>
    <row r="216" spans="1:9" x14ac:dyDescent="0.2">
      <c r="A216" s="10">
        <v>18994</v>
      </c>
      <c r="B216" s="11">
        <v>42419</v>
      </c>
      <c r="C216" s="12">
        <v>68.739999999999995</v>
      </c>
      <c r="D216" s="12">
        <v>5.24</v>
      </c>
      <c r="E216" s="15" t="s">
        <v>7</v>
      </c>
      <c r="H216" s="23"/>
      <c r="I216" s="10"/>
    </row>
    <row r="217" spans="1:9" x14ac:dyDescent="0.2">
      <c r="A217" s="10">
        <v>18995</v>
      </c>
      <c r="B217" s="11">
        <v>42419</v>
      </c>
      <c r="C217" s="12">
        <v>385</v>
      </c>
      <c r="D217" s="12"/>
      <c r="E217" s="15" t="s">
        <v>566</v>
      </c>
      <c r="H217" s="23"/>
      <c r="I217" s="10"/>
    </row>
    <row r="218" spans="1:9" x14ac:dyDescent="0.2">
      <c r="A218" s="10">
        <v>18996</v>
      </c>
      <c r="B218" s="11">
        <v>42419</v>
      </c>
      <c r="C218" s="12">
        <v>161.29</v>
      </c>
      <c r="D218" s="12">
        <v>12.29</v>
      </c>
      <c r="E218" s="15" t="s">
        <v>7</v>
      </c>
      <c r="F218" s="21"/>
      <c r="G218" s="22"/>
      <c r="H218" s="23"/>
      <c r="I218" s="10"/>
    </row>
    <row r="219" spans="1:9" x14ac:dyDescent="0.2">
      <c r="A219" s="10">
        <v>18997</v>
      </c>
      <c r="B219" s="11">
        <v>42419</v>
      </c>
      <c r="C219" s="12">
        <v>0</v>
      </c>
      <c r="D219" s="12">
        <v>0</v>
      </c>
      <c r="E219" s="13"/>
      <c r="F219" s="18"/>
      <c r="G219" s="19"/>
      <c r="H219" s="17"/>
      <c r="I219" s="10"/>
    </row>
    <row r="220" spans="1:9" x14ac:dyDescent="0.2">
      <c r="A220" s="10">
        <v>18998</v>
      </c>
      <c r="B220" s="11">
        <v>42419</v>
      </c>
      <c r="C220" s="12">
        <v>91.9</v>
      </c>
      <c r="D220" s="12">
        <v>7</v>
      </c>
      <c r="E220" s="15" t="s">
        <v>11</v>
      </c>
      <c r="F220" s="21"/>
      <c r="G220" s="22"/>
      <c r="H220" s="23"/>
      <c r="I220" s="10"/>
    </row>
    <row r="221" spans="1:9" x14ac:dyDescent="0.2">
      <c r="A221" s="10">
        <v>18999</v>
      </c>
      <c r="B221" s="11">
        <v>42419</v>
      </c>
      <c r="C221" s="12">
        <v>13</v>
      </c>
      <c r="D221" s="12">
        <v>0.99</v>
      </c>
      <c r="E221" s="15" t="s">
        <v>7</v>
      </c>
      <c r="H221" s="23"/>
      <c r="I221" s="10"/>
    </row>
    <row r="222" spans="1:9" x14ac:dyDescent="0.2">
      <c r="A222" s="10">
        <v>19000</v>
      </c>
      <c r="B222" s="11">
        <v>42419</v>
      </c>
      <c r="C222" s="12">
        <v>375.08</v>
      </c>
      <c r="D222" s="12">
        <v>28.58</v>
      </c>
      <c r="E222" s="15" t="s">
        <v>11</v>
      </c>
      <c r="H222" s="23"/>
      <c r="I222" s="10"/>
    </row>
    <row r="223" spans="1:9" x14ac:dyDescent="0.2">
      <c r="A223" s="10">
        <v>19001</v>
      </c>
      <c r="B223" s="11">
        <v>42419</v>
      </c>
      <c r="C223" s="12"/>
      <c r="D223" s="12"/>
      <c r="E223" s="13" t="s">
        <v>583</v>
      </c>
      <c r="H223" s="17"/>
      <c r="I223" s="10"/>
    </row>
    <row r="224" spans="1:9" x14ac:dyDescent="0.2">
      <c r="A224" s="10">
        <v>19002</v>
      </c>
      <c r="B224" s="11">
        <v>42419</v>
      </c>
      <c r="C224" s="12">
        <v>41.080000000000005</v>
      </c>
      <c r="D224" s="12">
        <v>3.13</v>
      </c>
      <c r="E224" s="17"/>
      <c r="F224" s="18"/>
      <c r="G224" s="19"/>
      <c r="H224" s="17"/>
      <c r="I224" s="10"/>
    </row>
    <row r="225" spans="1:9" x14ac:dyDescent="0.2">
      <c r="A225" s="10">
        <v>19003</v>
      </c>
      <c r="B225" s="11">
        <v>42419</v>
      </c>
      <c r="C225" s="12">
        <v>90.93</v>
      </c>
      <c r="D225" s="12">
        <v>6.93</v>
      </c>
      <c r="E225" s="17"/>
      <c r="F225" s="18"/>
      <c r="G225" s="19"/>
      <c r="H225" s="17"/>
      <c r="I225" s="10"/>
    </row>
    <row r="226" spans="1:9" x14ac:dyDescent="0.2">
      <c r="A226" s="10">
        <v>19004</v>
      </c>
      <c r="B226" s="11">
        <v>42419</v>
      </c>
      <c r="C226" s="12">
        <v>48</v>
      </c>
      <c r="D226" s="12"/>
      <c r="E226" s="13" t="s">
        <v>8</v>
      </c>
      <c r="F226" s="18"/>
      <c r="G226" s="19"/>
      <c r="H226" s="17"/>
      <c r="I226" s="10"/>
    </row>
    <row r="227" spans="1:9" x14ac:dyDescent="0.2">
      <c r="A227" s="10">
        <v>19005</v>
      </c>
      <c r="B227" s="11">
        <v>42419</v>
      </c>
      <c r="C227" s="12">
        <v>38</v>
      </c>
      <c r="D227" s="12"/>
      <c r="E227" s="13" t="s">
        <v>8</v>
      </c>
      <c r="H227" s="17"/>
      <c r="I227" s="10"/>
    </row>
    <row r="228" spans="1:9" x14ac:dyDescent="0.2">
      <c r="A228" s="10">
        <v>19006</v>
      </c>
      <c r="B228" s="11">
        <v>42419</v>
      </c>
      <c r="C228" s="12">
        <v>74.69</v>
      </c>
      <c r="D228" s="12">
        <v>5.69</v>
      </c>
      <c r="E228" s="15" t="s">
        <v>11</v>
      </c>
      <c r="F228" s="21"/>
      <c r="G228" s="22"/>
      <c r="H228" s="23"/>
      <c r="I228" s="10"/>
    </row>
    <row r="229" spans="1:9" x14ac:dyDescent="0.2">
      <c r="A229" s="10">
        <v>19007</v>
      </c>
      <c r="B229" s="11">
        <v>42419</v>
      </c>
      <c r="C229" s="12">
        <v>57.37</v>
      </c>
      <c r="D229" s="12">
        <v>4.37</v>
      </c>
      <c r="E229" s="15" t="s">
        <v>11</v>
      </c>
      <c r="H229" s="23"/>
      <c r="I229" s="10"/>
    </row>
    <row r="230" spans="1:9" x14ac:dyDescent="0.2">
      <c r="A230" s="10">
        <v>19008</v>
      </c>
      <c r="B230" s="11">
        <v>42419</v>
      </c>
      <c r="C230" s="12">
        <v>800</v>
      </c>
      <c r="D230" s="12">
        <v>60.97</v>
      </c>
      <c r="E230" s="15"/>
      <c r="F230" s="20">
        <f>+C211+C212+C215+C216+C220+C221+C222+C228+C229+179.29</f>
        <v>1118.7900000000002</v>
      </c>
      <c r="G230" s="20">
        <v>1100.3699999999999</v>
      </c>
      <c r="H230" s="17"/>
      <c r="I230" s="10"/>
    </row>
    <row r="231" spans="1:9" x14ac:dyDescent="0.2">
      <c r="A231" s="10">
        <v>19009</v>
      </c>
      <c r="B231" s="11">
        <v>42420</v>
      </c>
      <c r="C231" s="12">
        <v>15</v>
      </c>
      <c r="D231" s="12">
        <v>1.1399999999999999</v>
      </c>
      <c r="E231" s="15" t="s">
        <v>11</v>
      </c>
      <c r="H231" s="23"/>
      <c r="I231" s="10"/>
    </row>
    <row r="232" spans="1:9" x14ac:dyDescent="0.2">
      <c r="A232" s="10">
        <v>19010</v>
      </c>
      <c r="B232" s="11">
        <v>42420</v>
      </c>
      <c r="C232" s="12">
        <v>38.97</v>
      </c>
      <c r="D232" s="12">
        <v>2.97</v>
      </c>
      <c r="E232" s="15" t="s">
        <v>11</v>
      </c>
      <c r="F232" s="21"/>
      <c r="G232" s="22"/>
      <c r="H232" s="23"/>
      <c r="I232" s="10"/>
    </row>
    <row r="233" spans="1:9" x14ac:dyDescent="0.2">
      <c r="A233" s="10">
        <v>19011</v>
      </c>
      <c r="B233" s="11">
        <v>42420</v>
      </c>
      <c r="C233" s="12">
        <v>550.79999999999995</v>
      </c>
      <c r="D233" s="12"/>
      <c r="E233" s="15" t="s">
        <v>566</v>
      </c>
      <c r="H233" s="23"/>
      <c r="I233" s="10"/>
    </row>
    <row r="234" spans="1:9" x14ac:dyDescent="0.2">
      <c r="A234" s="10">
        <v>19012</v>
      </c>
      <c r="B234" s="11">
        <v>42420</v>
      </c>
      <c r="C234" s="12">
        <v>19.489999999999998</v>
      </c>
      <c r="D234" s="12">
        <v>1.49</v>
      </c>
      <c r="E234" s="15" t="s">
        <v>11</v>
      </c>
      <c r="H234" s="23"/>
      <c r="I234" s="10"/>
    </row>
    <row r="235" spans="1:9" x14ac:dyDescent="0.2">
      <c r="A235" s="10">
        <v>19013</v>
      </c>
      <c r="B235" s="11">
        <v>42420</v>
      </c>
      <c r="C235" s="12">
        <v>28</v>
      </c>
      <c r="D235" s="12"/>
      <c r="E235" s="15" t="s">
        <v>417</v>
      </c>
      <c r="H235" s="23"/>
      <c r="I235" s="10"/>
    </row>
    <row r="236" spans="1:9" x14ac:dyDescent="0.2">
      <c r="A236" s="10">
        <v>19014</v>
      </c>
      <c r="B236" s="11">
        <v>42420</v>
      </c>
      <c r="C236" s="12">
        <v>60.62</v>
      </c>
      <c r="D236" s="12">
        <v>4.62</v>
      </c>
      <c r="E236" s="15" t="s">
        <v>11</v>
      </c>
      <c r="F236" s="21"/>
      <c r="G236" s="22"/>
      <c r="H236" s="23"/>
      <c r="I236" s="10"/>
    </row>
    <row r="237" spans="1:9" x14ac:dyDescent="0.2">
      <c r="A237" s="10">
        <v>19015</v>
      </c>
      <c r="B237" s="11">
        <v>42420</v>
      </c>
      <c r="C237" s="12">
        <v>278.64</v>
      </c>
      <c r="D237" s="12">
        <v>21.24</v>
      </c>
      <c r="E237" s="15" t="s">
        <v>533</v>
      </c>
      <c r="I237" s="10"/>
    </row>
    <row r="238" spans="1:9" x14ac:dyDescent="0.2">
      <c r="A238" s="10">
        <v>19016</v>
      </c>
      <c r="B238" s="11">
        <v>42420</v>
      </c>
      <c r="C238" s="12">
        <v>440</v>
      </c>
      <c r="D238" s="12">
        <v>33.53</v>
      </c>
      <c r="E238" s="15"/>
      <c r="H238" s="4"/>
      <c r="I238" s="10"/>
    </row>
    <row r="239" spans="1:9" x14ac:dyDescent="0.2">
      <c r="A239" s="10">
        <v>19017</v>
      </c>
      <c r="B239" s="11">
        <v>42420</v>
      </c>
      <c r="C239" s="12">
        <v>44.38</v>
      </c>
      <c r="D239" s="12">
        <v>3.38</v>
      </c>
      <c r="E239" s="17"/>
      <c r="F239" s="12"/>
      <c r="G239" s="12"/>
      <c r="H239" s="12"/>
      <c r="I239" s="10"/>
    </row>
    <row r="240" spans="1:9" x14ac:dyDescent="0.2">
      <c r="A240" s="10">
        <v>19018</v>
      </c>
      <c r="B240" s="11">
        <v>42420</v>
      </c>
      <c r="C240" s="12">
        <v>91.970000000000013</v>
      </c>
      <c r="D240" s="12">
        <v>7.01</v>
      </c>
      <c r="E240" s="15"/>
      <c r="F240" s="10"/>
      <c r="G240" s="10"/>
      <c r="H240" s="10"/>
      <c r="I240" s="10"/>
    </row>
    <row r="241" spans="1:12" x14ac:dyDescent="0.2">
      <c r="A241" s="10">
        <v>19019</v>
      </c>
      <c r="B241" s="11">
        <v>42420</v>
      </c>
      <c r="C241" s="12">
        <v>96.34</v>
      </c>
      <c r="D241" s="12">
        <v>7.34</v>
      </c>
      <c r="E241" s="13"/>
      <c r="F241" s="12"/>
      <c r="G241" s="12"/>
      <c r="H241" s="12"/>
      <c r="I241" s="10"/>
    </row>
    <row r="242" spans="1:12" x14ac:dyDescent="0.2">
      <c r="A242" s="10">
        <v>19020</v>
      </c>
      <c r="B242" s="11">
        <v>42420</v>
      </c>
      <c r="C242" s="12">
        <v>19.05</v>
      </c>
      <c r="D242" s="12">
        <v>1.45</v>
      </c>
      <c r="E242" s="15" t="s">
        <v>11</v>
      </c>
      <c r="I242" s="10"/>
    </row>
    <row r="243" spans="1:12" x14ac:dyDescent="0.2">
      <c r="A243" s="10">
        <v>19021</v>
      </c>
      <c r="B243" s="11">
        <v>42420</v>
      </c>
      <c r="C243" s="12">
        <v>5.36</v>
      </c>
      <c r="D243" s="12">
        <v>0.41</v>
      </c>
      <c r="E243" s="17"/>
      <c r="I243" s="10"/>
    </row>
    <row r="244" spans="1:12" x14ac:dyDescent="0.2">
      <c r="A244" s="10">
        <v>19022</v>
      </c>
      <c r="B244" s="11">
        <v>42420</v>
      </c>
      <c r="C244" s="12">
        <v>205.45999999999998</v>
      </c>
      <c r="D244" s="12">
        <v>15.66</v>
      </c>
      <c r="E244" s="15" t="s">
        <v>11</v>
      </c>
      <c r="I244" s="10"/>
    </row>
    <row r="245" spans="1:12" x14ac:dyDescent="0.2">
      <c r="A245" s="10">
        <v>19023</v>
      </c>
      <c r="B245" s="11">
        <v>42420</v>
      </c>
      <c r="C245" s="12">
        <v>107.17</v>
      </c>
      <c r="D245" s="12">
        <v>8.17</v>
      </c>
      <c r="E245" s="17"/>
      <c r="I245" s="10"/>
    </row>
    <row r="246" spans="1:12" x14ac:dyDescent="0.2">
      <c r="A246" s="10">
        <v>19024</v>
      </c>
      <c r="B246" s="11">
        <v>42420</v>
      </c>
      <c r="C246" s="12">
        <v>21.599999999999998</v>
      </c>
      <c r="D246" s="12">
        <v>1.65</v>
      </c>
      <c r="E246" s="15" t="s">
        <v>11</v>
      </c>
      <c r="I246" s="10"/>
    </row>
    <row r="247" spans="1:12" x14ac:dyDescent="0.2">
      <c r="A247" s="10">
        <v>19025</v>
      </c>
      <c r="B247" s="11">
        <v>42420</v>
      </c>
      <c r="C247" s="12">
        <v>50.88</v>
      </c>
      <c r="D247" s="12">
        <v>3.88</v>
      </c>
      <c r="E247" s="17"/>
      <c r="F247" s="20">
        <f>+C218+C231+C232+C234+C235+C236+C242+C244+C246+278.64</f>
        <v>848.12</v>
      </c>
      <c r="G247" s="20">
        <f>562.73+270.98</f>
        <v>833.71</v>
      </c>
      <c r="H247" s="15"/>
      <c r="I247" s="10"/>
    </row>
    <row r="248" spans="1:12" x14ac:dyDescent="0.2">
      <c r="A248" s="10">
        <v>19026</v>
      </c>
      <c r="B248" s="11">
        <v>42422</v>
      </c>
      <c r="C248" s="12">
        <v>22.73</v>
      </c>
      <c r="D248" s="12">
        <v>1.73</v>
      </c>
      <c r="E248" s="17"/>
      <c r="H248" s="17"/>
      <c r="I248" s="10"/>
    </row>
    <row r="249" spans="1:12" x14ac:dyDescent="0.2">
      <c r="A249" s="10">
        <v>19027</v>
      </c>
      <c r="B249" s="11">
        <v>42422</v>
      </c>
      <c r="C249" s="12">
        <v>310.67</v>
      </c>
      <c r="D249" s="12">
        <v>23.68</v>
      </c>
      <c r="E249" s="15" t="s">
        <v>7</v>
      </c>
      <c r="F249" s="21"/>
      <c r="G249" s="22"/>
      <c r="H249" s="23"/>
      <c r="I249" s="10"/>
    </row>
    <row r="250" spans="1:12" x14ac:dyDescent="0.2">
      <c r="A250" s="10">
        <v>19028</v>
      </c>
      <c r="B250" s="11">
        <v>42422</v>
      </c>
      <c r="C250" s="12">
        <v>368.05</v>
      </c>
      <c r="D250" s="12">
        <v>28.05</v>
      </c>
      <c r="E250" s="13" t="s">
        <v>584</v>
      </c>
      <c r="F250" s="18"/>
      <c r="G250" s="19"/>
      <c r="H250" s="17"/>
      <c r="I250" s="10"/>
    </row>
    <row r="251" spans="1:12" x14ac:dyDescent="0.2">
      <c r="A251" s="10">
        <v>19029</v>
      </c>
      <c r="B251" s="11">
        <v>42422</v>
      </c>
      <c r="C251" s="12">
        <v>107.17</v>
      </c>
      <c r="D251" s="12">
        <v>8.17</v>
      </c>
      <c r="E251" s="15" t="s">
        <v>11</v>
      </c>
      <c r="F251" s="183"/>
      <c r="G251" s="183"/>
      <c r="H251" s="183"/>
      <c r="I251" s="183"/>
      <c r="J251" s="77"/>
      <c r="K251" s="78"/>
      <c r="L251" s="184"/>
    </row>
    <row r="252" spans="1:12" x14ac:dyDescent="0.2">
      <c r="A252" s="10">
        <v>19030</v>
      </c>
      <c r="B252" s="11">
        <v>42422</v>
      </c>
      <c r="C252" s="12">
        <v>17.990000000000002</v>
      </c>
      <c r="D252" s="12">
        <v>1.37</v>
      </c>
      <c r="E252" s="12"/>
      <c r="H252" s="185"/>
      <c r="I252" s="183"/>
      <c r="J252" s="77"/>
      <c r="K252" s="78"/>
      <c r="L252" s="184"/>
    </row>
    <row r="253" spans="1:12" x14ac:dyDescent="0.2">
      <c r="A253" s="10">
        <v>19031</v>
      </c>
      <c r="B253" s="11">
        <v>42422</v>
      </c>
      <c r="C253" s="12">
        <v>275</v>
      </c>
      <c r="D253" s="12"/>
      <c r="E253" s="15" t="s">
        <v>566</v>
      </c>
      <c r="H253" s="183"/>
      <c r="I253" s="183"/>
      <c r="J253" s="77"/>
      <c r="K253" s="78"/>
      <c r="L253" s="184"/>
    </row>
    <row r="254" spans="1:12" x14ac:dyDescent="0.2">
      <c r="A254" s="10">
        <v>19032</v>
      </c>
      <c r="B254" s="11">
        <v>42422</v>
      </c>
      <c r="C254" s="12">
        <v>0.5</v>
      </c>
      <c r="D254" s="12">
        <v>0.04</v>
      </c>
      <c r="E254" s="17"/>
      <c r="H254" s="185"/>
      <c r="I254" s="183"/>
      <c r="J254" s="77"/>
      <c r="K254" s="78"/>
      <c r="L254" s="184"/>
    </row>
    <row r="255" spans="1:12" x14ac:dyDescent="0.2">
      <c r="A255" s="10">
        <v>19033</v>
      </c>
      <c r="B255" s="11">
        <v>42422</v>
      </c>
      <c r="C255" s="12">
        <v>12.99</v>
      </c>
      <c r="D255" s="12">
        <v>0.99</v>
      </c>
      <c r="E255" s="17"/>
      <c r="H255" s="185"/>
      <c r="I255" s="183"/>
      <c r="J255" s="77"/>
      <c r="K255" s="78"/>
      <c r="L255" s="184"/>
    </row>
    <row r="256" spans="1:12" x14ac:dyDescent="0.2">
      <c r="A256" s="10">
        <v>19034</v>
      </c>
      <c r="B256" s="11">
        <v>42422</v>
      </c>
      <c r="C256" s="12">
        <v>44.38</v>
      </c>
      <c r="D256" s="12">
        <v>3.38</v>
      </c>
      <c r="E256" s="17"/>
      <c r="F256" s="18"/>
      <c r="G256" s="19"/>
      <c r="H256" s="185"/>
      <c r="I256" s="183"/>
      <c r="J256" s="77"/>
      <c r="K256" s="78"/>
      <c r="L256" s="184"/>
    </row>
    <row r="257" spans="1:12" x14ac:dyDescent="0.2">
      <c r="A257" s="10">
        <v>19035</v>
      </c>
      <c r="B257" s="11">
        <v>42422</v>
      </c>
      <c r="C257" s="12">
        <v>22.57</v>
      </c>
      <c r="D257" s="12">
        <v>1.72</v>
      </c>
      <c r="E257" s="15" t="s">
        <v>11</v>
      </c>
      <c r="H257" s="183"/>
      <c r="I257" s="183"/>
      <c r="J257" s="77"/>
      <c r="K257" s="78"/>
      <c r="L257" s="184"/>
    </row>
    <row r="258" spans="1:12" x14ac:dyDescent="0.2">
      <c r="A258" s="10">
        <v>19036</v>
      </c>
      <c r="B258" s="11">
        <v>42422</v>
      </c>
      <c r="C258" s="12">
        <v>217</v>
      </c>
      <c r="D258" s="12">
        <v>16.54</v>
      </c>
      <c r="E258" s="15" t="s">
        <v>21</v>
      </c>
      <c r="H258" s="183"/>
      <c r="I258" s="183"/>
      <c r="J258" s="77"/>
      <c r="K258" s="78"/>
      <c r="L258" s="184"/>
    </row>
    <row r="259" spans="1:12" x14ac:dyDescent="0.2">
      <c r="A259" s="10">
        <v>19037</v>
      </c>
      <c r="B259" s="11">
        <v>42422</v>
      </c>
      <c r="C259" s="12">
        <v>21.65</v>
      </c>
      <c r="D259" s="12">
        <v>1.65</v>
      </c>
      <c r="E259" s="17"/>
      <c r="F259" s="20">
        <f>+C249+C251+C257</f>
        <v>440.41</v>
      </c>
      <c r="G259" s="20">
        <v>434.82</v>
      </c>
      <c r="H259" s="185"/>
      <c r="I259" s="183"/>
      <c r="J259" s="77"/>
      <c r="K259" s="78"/>
      <c r="L259" s="184"/>
    </row>
    <row r="260" spans="1:12" x14ac:dyDescent="0.2">
      <c r="A260" s="10">
        <v>19038</v>
      </c>
      <c r="B260" s="11">
        <v>42423</v>
      </c>
      <c r="C260" s="12">
        <v>21.599999999999998</v>
      </c>
      <c r="D260" s="12">
        <v>1.65</v>
      </c>
      <c r="E260" s="17"/>
      <c r="H260" s="185"/>
      <c r="I260" s="183"/>
      <c r="J260" s="77"/>
      <c r="K260" s="78"/>
      <c r="L260" s="184"/>
    </row>
    <row r="261" spans="1:12" x14ac:dyDescent="0.2">
      <c r="A261" s="10">
        <v>19039</v>
      </c>
      <c r="B261" s="11">
        <v>42423</v>
      </c>
      <c r="C261" s="12">
        <v>23.82</v>
      </c>
      <c r="D261" s="12">
        <v>1.82</v>
      </c>
      <c r="E261" s="17"/>
      <c r="F261" s="18"/>
      <c r="G261" s="19"/>
      <c r="H261" s="185"/>
      <c r="I261" s="183"/>
      <c r="J261" s="77"/>
      <c r="K261" s="78"/>
      <c r="L261" s="184"/>
    </row>
    <row r="262" spans="1:12" x14ac:dyDescent="0.2">
      <c r="A262" s="10">
        <v>19040</v>
      </c>
      <c r="B262" s="11">
        <v>42423</v>
      </c>
      <c r="C262" s="12">
        <v>70.36</v>
      </c>
      <c r="D262" s="12">
        <v>5.36</v>
      </c>
      <c r="E262" s="15" t="s">
        <v>7</v>
      </c>
      <c r="F262" s="21"/>
      <c r="G262" s="22"/>
      <c r="H262" s="183"/>
      <c r="I262" s="183"/>
      <c r="J262" s="77"/>
      <c r="K262" s="78"/>
      <c r="L262" s="184"/>
    </row>
    <row r="263" spans="1:12" x14ac:dyDescent="0.2">
      <c r="A263" s="10">
        <v>19041</v>
      </c>
      <c r="B263" s="11">
        <v>42423</v>
      </c>
      <c r="C263" s="12">
        <v>172.12</v>
      </c>
      <c r="D263" s="12">
        <v>13.12</v>
      </c>
      <c r="E263" s="17"/>
      <c r="H263" s="185"/>
      <c r="I263" s="183"/>
      <c r="J263" s="77"/>
      <c r="K263" s="78"/>
      <c r="L263" s="184"/>
    </row>
    <row r="264" spans="1:12" x14ac:dyDescent="0.2">
      <c r="A264" s="10">
        <v>19042</v>
      </c>
      <c r="B264" s="11">
        <v>42423</v>
      </c>
      <c r="C264" s="12">
        <v>215</v>
      </c>
      <c r="D264" s="12"/>
      <c r="E264" s="15" t="s">
        <v>8</v>
      </c>
      <c r="H264" s="183"/>
      <c r="I264" s="183"/>
      <c r="J264" s="77"/>
      <c r="K264" s="78"/>
      <c r="L264" s="184"/>
    </row>
    <row r="265" spans="1:12" x14ac:dyDescent="0.2">
      <c r="A265" s="10">
        <v>19043</v>
      </c>
      <c r="B265" s="11">
        <v>42423</v>
      </c>
      <c r="C265" s="12">
        <v>15</v>
      </c>
      <c r="D265" s="12"/>
      <c r="E265" s="15" t="s">
        <v>585</v>
      </c>
      <c r="H265" s="183"/>
      <c r="I265" s="183"/>
      <c r="J265" s="77"/>
      <c r="K265" s="78"/>
      <c r="L265" s="184"/>
    </row>
    <row r="266" spans="1:12" x14ac:dyDescent="0.2">
      <c r="A266" s="10">
        <v>19044</v>
      </c>
      <c r="B266" s="11">
        <v>42423</v>
      </c>
      <c r="C266" s="12">
        <v>182.94</v>
      </c>
      <c r="D266" s="12">
        <v>13.94</v>
      </c>
      <c r="E266" s="15" t="s">
        <v>7</v>
      </c>
      <c r="F266" s="21"/>
      <c r="G266" s="22"/>
      <c r="H266" s="183"/>
      <c r="I266" s="183"/>
      <c r="J266" s="77"/>
      <c r="K266" s="78"/>
      <c r="L266" s="184"/>
    </row>
    <row r="267" spans="1:12" x14ac:dyDescent="0.2">
      <c r="A267" s="10">
        <v>19045</v>
      </c>
      <c r="B267" s="11">
        <v>42423</v>
      </c>
      <c r="C267" s="12">
        <v>75.78</v>
      </c>
      <c r="D267" s="12">
        <v>5.78</v>
      </c>
      <c r="E267" s="15" t="s">
        <v>11</v>
      </c>
      <c r="H267" s="183"/>
      <c r="I267" s="183"/>
      <c r="J267" s="77"/>
      <c r="K267" s="78"/>
      <c r="L267" s="184"/>
    </row>
    <row r="268" spans="1:12" x14ac:dyDescent="0.2">
      <c r="A268" s="10">
        <v>19046</v>
      </c>
      <c r="B268" s="11">
        <v>42423</v>
      </c>
      <c r="C268" s="12">
        <v>48.17</v>
      </c>
      <c r="D268" s="12">
        <v>3.67</v>
      </c>
      <c r="E268" s="15" t="s">
        <v>11</v>
      </c>
      <c r="F268" s="21"/>
      <c r="G268" s="22"/>
      <c r="H268" s="183"/>
      <c r="I268" s="183"/>
      <c r="J268" s="77"/>
      <c r="K268" s="78"/>
      <c r="L268" s="184"/>
    </row>
    <row r="269" spans="1:12" x14ac:dyDescent="0.2">
      <c r="A269" s="10">
        <v>19047</v>
      </c>
      <c r="B269" s="11">
        <v>42423</v>
      </c>
      <c r="C269" s="12">
        <v>259.8</v>
      </c>
      <c r="D269" s="12">
        <v>19.8</v>
      </c>
      <c r="E269" s="13" t="s">
        <v>586</v>
      </c>
      <c r="H269" s="185"/>
      <c r="I269" s="183"/>
      <c r="J269" s="77"/>
      <c r="K269" s="78"/>
      <c r="L269" s="184"/>
    </row>
    <row r="270" spans="1:12" x14ac:dyDescent="0.2">
      <c r="A270" s="10">
        <v>19048</v>
      </c>
      <c r="B270" s="11">
        <v>42423</v>
      </c>
      <c r="C270" s="12">
        <v>8</v>
      </c>
      <c r="D270" s="12">
        <v>0.61</v>
      </c>
      <c r="E270" s="17"/>
      <c r="F270" s="18"/>
      <c r="G270" s="19"/>
      <c r="H270" s="185"/>
      <c r="I270" s="183"/>
      <c r="J270" s="77"/>
      <c r="K270" s="78"/>
      <c r="L270" s="184"/>
    </row>
    <row r="271" spans="1:12" x14ac:dyDescent="0.2">
      <c r="A271" s="10">
        <v>19049</v>
      </c>
      <c r="B271" s="11">
        <v>42423</v>
      </c>
      <c r="C271" s="12">
        <v>217.78</v>
      </c>
      <c r="D271" s="12"/>
      <c r="E271" s="15" t="s">
        <v>566</v>
      </c>
      <c r="F271" s="21"/>
      <c r="G271" s="22"/>
      <c r="H271" s="183"/>
      <c r="I271" s="183"/>
      <c r="J271" s="77"/>
      <c r="K271" s="78"/>
      <c r="L271" s="184"/>
    </row>
    <row r="272" spans="1:12" x14ac:dyDescent="0.2">
      <c r="A272" s="10">
        <v>19050</v>
      </c>
      <c r="B272" s="11">
        <v>42423</v>
      </c>
      <c r="C272" s="12">
        <v>10</v>
      </c>
      <c r="D272" s="12">
        <v>0.76</v>
      </c>
      <c r="E272" s="17"/>
      <c r="H272" s="185"/>
      <c r="I272" s="183"/>
      <c r="J272" s="77"/>
      <c r="K272" s="78"/>
      <c r="L272" s="184"/>
    </row>
    <row r="273" spans="1:12" x14ac:dyDescent="0.2">
      <c r="A273" s="10">
        <v>19051</v>
      </c>
      <c r="B273" s="11">
        <v>42423</v>
      </c>
      <c r="C273" s="12">
        <v>177</v>
      </c>
      <c r="D273" s="12"/>
      <c r="E273" s="15" t="s">
        <v>519</v>
      </c>
      <c r="H273" s="183"/>
      <c r="I273" s="183"/>
      <c r="J273" s="77"/>
      <c r="K273" s="78"/>
      <c r="L273" s="184"/>
    </row>
    <row r="274" spans="1:12" x14ac:dyDescent="0.2">
      <c r="A274" s="10">
        <v>19052</v>
      </c>
      <c r="B274" s="11">
        <v>42423</v>
      </c>
      <c r="C274" s="12">
        <v>65.000000000000014</v>
      </c>
      <c r="D274" s="12">
        <v>4.95</v>
      </c>
      <c r="E274" s="15" t="s">
        <v>11</v>
      </c>
      <c r="F274" s="20">
        <f>40+C266+C267+C268+C273+C274</f>
        <v>588.8900000000001</v>
      </c>
      <c r="G274" s="20">
        <v>581.47</v>
      </c>
      <c r="H274" s="183"/>
      <c r="I274" s="183"/>
      <c r="J274" s="77"/>
      <c r="K274" s="78"/>
      <c r="L274" s="184"/>
    </row>
    <row r="275" spans="1:12" x14ac:dyDescent="0.2">
      <c r="A275" s="10">
        <v>19053</v>
      </c>
      <c r="B275" s="11">
        <v>42424</v>
      </c>
      <c r="C275" s="12">
        <v>51.12</v>
      </c>
      <c r="D275" s="12"/>
      <c r="E275" s="15" t="s">
        <v>368</v>
      </c>
      <c r="H275" s="183"/>
      <c r="I275" s="183"/>
      <c r="J275" s="77"/>
      <c r="K275" s="78"/>
      <c r="L275" s="184"/>
    </row>
    <row r="276" spans="1:12" x14ac:dyDescent="0.2">
      <c r="A276" s="10">
        <v>19054</v>
      </c>
      <c r="B276" s="11">
        <v>42424</v>
      </c>
      <c r="C276" s="12">
        <v>75.78</v>
      </c>
      <c r="D276" s="12">
        <v>5.78</v>
      </c>
      <c r="E276" s="17"/>
      <c r="F276" s="18"/>
      <c r="G276" s="19"/>
      <c r="H276" s="185"/>
      <c r="I276" s="183"/>
      <c r="J276" s="77"/>
      <c r="K276" s="78"/>
      <c r="L276" s="184"/>
    </row>
    <row r="277" spans="1:12" x14ac:dyDescent="0.2">
      <c r="A277" s="10">
        <v>19055</v>
      </c>
      <c r="B277" s="11">
        <v>42424</v>
      </c>
      <c r="C277" s="12">
        <v>236.53</v>
      </c>
      <c r="D277" s="12">
        <v>18.03</v>
      </c>
      <c r="E277" s="17"/>
      <c r="F277" s="18"/>
      <c r="G277" s="19"/>
      <c r="H277" s="185"/>
      <c r="I277" s="183"/>
      <c r="J277" s="77"/>
      <c r="K277" s="78"/>
      <c r="L277" s="184"/>
    </row>
    <row r="278" spans="1:12" x14ac:dyDescent="0.2">
      <c r="A278" s="10">
        <v>19056</v>
      </c>
      <c r="B278" s="11">
        <v>42424</v>
      </c>
      <c r="C278" s="12">
        <v>1.62</v>
      </c>
      <c r="D278" s="12">
        <v>0.12</v>
      </c>
      <c r="E278" s="17"/>
      <c r="F278" s="18"/>
      <c r="G278" s="19"/>
      <c r="H278" s="185"/>
      <c r="I278" s="183"/>
      <c r="J278" s="77"/>
      <c r="K278" s="78"/>
      <c r="L278" s="184"/>
    </row>
    <row r="279" spans="1:12" x14ac:dyDescent="0.2">
      <c r="A279" s="10">
        <v>19057</v>
      </c>
      <c r="B279" s="11">
        <v>42424</v>
      </c>
      <c r="C279" s="12">
        <v>5.36</v>
      </c>
      <c r="D279" s="12">
        <v>0.41</v>
      </c>
      <c r="E279" s="17"/>
      <c r="F279" s="18"/>
      <c r="G279" s="19"/>
      <c r="H279" s="185"/>
      <c r="I279" s="183"/>
      <c r="J279" s="77"/>
      <c r="K279" s="78"/>
      <c r="L279" s="184"/>
    </row>
    <row r="280" spans="1:12" x14ac:dyDescent="0.2">
      <c r="A280" s="10">
        <v>19058</v>
      </c>
      <c r="B280" s="11">
        <v>42424</v>
      </c>
      <c r="C280" s="12">
        <v>110.36</v>
      </c>
      <c r="D280" s="12">
        <v>8.41</v>
      </c>
      <c r="E280" s="17"/>
      <c r="F280" s="18"/>
      <c r="G280" s="19"/>
      <c r="H280" s="185"/>
      <c r="I280" s="183"/>
      <c r="J280" s="77"/>
      <c r="K280" s="78"/>
      <c r="L280" s="184"/>
    </row>
    <row r="281" spans="1:12" x14ac:dyDescent="0.2">
      <c r="A281" s="10">
        <v>19059</v>
      </c>
      <c r="B281" s="11">
        <v>42424</v>
      </c>
      <c r="C281" s="12">
        <v>10.8</v>
      </c>
      <c r="D281" s="12">
        <v>0.82</v>
      </c>
      <c r="E281" s="17"/>
      <c r="F281" s="18"/>
      <c r="G281" s="19"/>
      <c r="H281" s="185"/>
      <c r="I281" s="183"/>
      <c r="J281" s="77"/>
      <c r="K281" s="78"/>
      <c r="L281" s="184"/>
    </row>
    <row r="282" spans="1:12" x14ac:dyDescent="0.2">
      <c r="A282" s="10">
        <v>19060</v>
      </c>
      <c r="B282" s="11">
        <v>42424</v>
      </c>
      <c r="C282" s="12">
        <v>166.71</v>
      </c>
      <c r="D282" s="12">
        <v>12.71</v>
      </c>
      <c r="E282" s="15" t="s">
        <v>7</v>
      </c>
      <c r="H282" s="183"/>
      <c r="I282" s="183"/>
      <c r="J282" s="77"/>
      <c r="K282" s="78"/>
      <c r="L282" s="184"/>
    </row>
    <row r="283" spans="1:12" x14ac:dyDescent="0.2">
      <c r="A283" s="10">
        <v>19061</v>
      </c>
      <c r="B283" s="11">
        <v>42424</v>
      </c>
      <c r="C283" s="12">
        <v>21.65</v>
      </c>
      <c r="D283" s="12">
        <v>1.65</v>
      </c>
      <c r="E283" s="17"/>
      <c r="F283" s="18"/>
      <c r="G283" s="19"/>
      <c r="H283" s="185"/>
      <c r="I283" s="183"/>
      <c r="J283" s="77"/>
      <c r="K283" s="78"/>
      <c r="L283" s="184"/>
    </row>
    <row r="284" spans="1:12" x14ac:dyDescent="0.2">
      <c r="A284" s="10">
        <v>19062</v>
      </c>
      <c r="B284" s="11">
        <v>42424</v>
      </c>
      <c r="C284" s="12">
        <v>184.44</v>
      </c>
      <c r="D284" s="12"/>
      <c r="E284" s="15" t="s">
        <v>566</v>
      </c>
      <c r="H284" s="183"/>
      <c r="I284" s="183"/>
      <c r="J284" s="77"/>
      <c r="K284" s="78"/>
      <c r="L284" s="184"/>
    </row>
    <row r="285" spans="1:12" x14ac:dyDescent="0.2">
      <c r="A285" s="10">
        <v>19063</v>
      </c>
      <c r="B285" s="11">
        <v>42424</v>
      </c>
      <c r="C285" s="12">
        <v>75.78</v>
      </c>
      <c r="D285" s="12">
        <v>5.78</v>
      </c>
      <c r="E285" s="15" t="s">
        <v>11</v>
      </c>
      <c r="F285" s="21"/>
      <c r="G285" s="22"/>
      <c r="H285" s="183"/>
      <c r="I285" s="183"/>
      <c r="J285" s="77"/>
      <c r="K285" s="78"/>
      <c r="L285" s="184"/>
    </row>
    <row r="286" spans="1:12" x14ac:dyDescent="0.2">
      <c r="A286" s="10">
        <v>19064</v>
      </c>
      <c r="B286" s="11">
        <v>42424</v>
      </c>
      <c r="C286" s="12">
        <v>10.77</v>
      </c>
      <c r="D286" s="12">
        <v>0.82</v>
      </c>
      <c r="E286" s="15"/>
      <c r="F286" s="21"/>
      <c r="G286" s="22"/>
      <c r="H286" s="183"/>
      <c r="I286" s="183"/>
      <c r="J286" s="77"/>
      <c r="K286" s="78"/>
      <c r="L286" s="184"/>
    </row>
    <row r="287" spans="1:12" x14ac:dyDescent="0.2">
      <c r="A287" s="10">
        <v>19065</v>
      </c>
      <c r="B287" s="11">
        <v>42424</v>
      </c>
      <c r="C287" s="12">
        <v>210.55</v>
      </c>
      <c r="D287" s="12">
        <v>16.05</v>
      </c>
      <c r="E287" s="15" t="s">
        <v>11</v>
      </c>
      <c r="H287" s="183"/>
      <c r="I287" s="183"/>
      <c r="J287" s="77"/>
      <c r="K287" s="78"/>
      <c r="L287" s="184"/>
    </row>
    <row r="288" spans="1:12" x14ac:dyDescent="0.2">
      <c r="A288" s="10">
        <v>19066</v>
      </c>
      <c r="B288" s="11">
        <v>42424</v>
      </c>
      <c r="C288" s="12">
        <v>16.849999999999998</v>
      </c>
      <c r="D288" s="12">
        <v>0.9</v>
      </c>
      <c r="E288" s="15" t="s">
        <v>587</v>
      </c>
      <c r="H288" s="183"/>
      <c r="I288" s="183"/>
      <c r="J288" s="77"/>
      <c r="K288" s="78"/>
      <c r="L288" s="184"/>
    </row>
    <row r="289" spans="1:12" x14ac:dyDescent="0.2">
      <c r="A289" s="10">
        <v>19067</v>
      </c>
      <c r="B289" s="11">
        <v>42424</v>
      </c>
      <c r="C289" s="12">
        <v>985</v>
      </c>
      <c r="D289" s="12">
        <v>75.069999999999993</v>
      </c>
      <c r="E289" s="17"/>
      <c r="H289" s="185"/>
      <c r="I289" s="183"/>
      <c r="J289" s="77"/>
      <c r="K289" s="78"/>
      <c r="L289" s="184"/>
    </row>
    <row r="290" spans="1:12" x14ac:dyDescent="0.2">
      <c r="A290" s="10">
        <v>19068</v>
      </c>
      <c r="B290" s="11">
        <v>42424</v>
      </c>
      <c r="C290" s="12">
        <v>289.96999999999997</v>
      </c>
      <c r="D290" s="12"/>
      <c r="E290" s="15" t="s">
        <v>566</v>
      </c>
      <c r="F290" s="20">
        <f>+C275+C282+C285+100+11.85</f>
        <v>405.46000000000004</v>
      </c>
      <c r="G290" s="20">
        <v>402.48</v>
      </c>
      <c r="H290" s="183"/>
      <c r="I290" s="183"/>
      <c r="J290" s="77"/>
      <c r="K290" s="78"/>
      <c r="L290" s="184"/>
    </row>
    <row r="291" spans="1:12" x14ac:dyDescent="0.2">
      <c r="A291" s="10">
        <v>19069</v>
      </c>
      <c r="B291" s="11">
        <v>42425</v>
      </c>
      <c r="C291" s="12">
        <v>134.22999999999999</v>
      </c>
      <c r="D291" s="12">
        <v>10.23</v>
      </c>
      <c r="E291" s="17"/>
      <c r="F291" s="18"/>
      <c r="G291" s="19"/>
      <c r="H291" s="185"/>
      <c r="I291" s="183"/>
      <c r="J291" s="77"/>
      <c r="K291" s="78"/>
      <c r="L291" s="184"/>
    </row>
    <row r="292" spans="1:12" x14ac:dyDescent="0.2">
      <c r="A292" s="10">
        <v>19070</v>
      </c>
      <c r="B292" s="11">
        <v>42425</v>
      </c>
      <c r="C292" s="12">
        <v>85.52</v>
      </c>
      <c r="D292" s="12">
        <v>6.52</v>
      </c>
      <c r="E292" s="15" t="s">
        <v>11</v>
      </c>
      <c r="H292" s="183"/>
      <c r="I292" s="183"/>
      <c r="J292" s="77"/>
      <c r="K292" s="78"/>
      <c r="L292" s="184"/>
    </row>
    <row r="293" spans="1:12" x14ac:dyDescent="0.2">
      <c r="A293" s="10">
        <v>19071</v>
      </c>
      <c r="B293" s="11">
        <v>42425</v>
      </c>
      <c r="C293" s="12">
        <v>126.11</v>
      </c>
      <c r="D293" s="12">
        <v>9.61</v>
      </c>
      <c r="E293" s="17"/>
      <c r="H293" s="185"/>
      <c r="I293" s="183"/>
      <c r="J293" s="77"/>
      <c r="K293" s="78"/>
      <c r="L293" s="184"/>
    </row>
    <row r="294" spans="1:12" x14ac:dyDescent="0.2">
      <c r="A294" s="10">
        <v>19072</v>
      </c>
      <c r="B294" s="11">
        <v>42425</v>
      </c>
      <c r="C294" s="12">
        <v>38</v>
      </c>
      <c r="D294" s="12"/>
      <c r="E294" s="13" t="s">
        <v>340</v>
      </c>
      <c r="H294" s="185"/>
      <c r="I294" s="183"/>
      <c r="J294" s="77"/>
      <c r="K294" s="78"/>
      <c r="L294" s="184"/>
    </row>
    <row r="295" spans="1:12" x14ac:dyDescent="0.2">
      <c r="A295" s="10">
        <v>19073</v>
      </c>
      <c r="B295" s="11">
        <v>42425</v>
      </c>
      <c r="C295" s="12">
        <v>33.56</v>
      </c>
      <c r="D295" s="12">
        <v>2.56</v>
      </c>
      <c r="E295" s="15" t="s">
        <v>11</v>
      </c>
      <c r="H295" s="183"/>
      <c r="I295" s="183"/>
      <c r="J295" s="77"/>
      <c r="K295" s="78"/>
      <c r="L295" s="184"/>
    </row>
    <row r="296" spans="1:12" x14ac:dyDescent="0.2">
      <c r="A296" s="10">
        <v>19074</v>
      </c>
      <c r="B296" s="11">
        <v>42425</v>
      </c>
      <c r="C296" s="12">
        <v>65.5</v>
      </c>
      <c r="D296" s="12"/>
      <c r="E296" s="15" t="s">
        <v>566</v>
      </c>
      <c r="H296" s="183"/>
      <c r="I296" s="183"/>
      <c r="J296" s="77"/>
      <c r="K296" s="78"/>
      <c r="L296" s="184"/>
    </row>
    <row r="297" spans="1:12" x14ac:dyDescent="0.2">
      <c r="A297" s="10">
        <v>19075</v>
      </c>
      <c r="B297" s="11">
        <v>42425</v>
      </c>
      <c r="C297" s="12">
        <v>83.96</v>
      </c>
      <c r="D297" s="12"/>
      <c r="E297" s="15" t="s">
        <v>566</v>
      </c>
      <c r="H297" s="183"/>
      <c r="I297" s="183"/>
      <c r="J297" s="77"/>
      <c r="K297" s="78"/>
      <c r="L297" s="184"/>
    </row>
    <row r="298" spans="1:12" x14ac:dyDescent="0.2">
      <c r="A298" s="10">
        <v>19076</v>
      </c>
      <c r="B298" s="11">
        <v>42425</v>
      </c>
      <c r="C298" s="12">
        <v>64.900000000000006</v>
      </c>
      <c r="D298" s="12">
        <v>4.95</v>
      </c>
      <c r="E298" s="15" t="s">
        <v>11</v>
      </c>
      <c r="H298" s="183"/>
      <c r="I298" s="183"/>
      <c r="J298" s="77"/>
      <c r="K298" s="78"/>
      <c r="L298" s="184"/>
    </row>
    <row r="299" spans="1:12" x14ac:dyDescent="0.2">
      <c r="A299" s="10">
        <v>19077</v>
      </c>
      <c r="B299" s="11">
        <v>42425</v>
      </c>
      <c r="C299" s="12">
        <v>48.71</v>
      </c>
      <c r="D299" s="12">
        <v>3.71</v>
      </c>
      <c r="E299" s="15" t="s">
        <v>11</v>
      </c>
      <c r="F299" s="21"/>
      <c r="G299" s="22"/>
      <c r="H299" s="183"/>
      <c r="I299" s="183"/>
      <c r="J299" s="77"/>
      <c r="K299" s="78"/>
      <c r="L299" s="184"/>
    </row>
    <row r="300" spans="1:12" x14ac:dyDescent="0.2">
      <c r="A300" s="10">
        <v>19078</v>
      </c>
      <c r="B300" s="11">
        <v>42425</v>
      </c>
      <c r="C300" s="12">
        <v>49.78</v>
      </c>
      <c r="D300" s="12"/>
      <c r="E300" s="15" t="s">
        <v>16</v>
      </c>
      <c r="H300" s="183"/>
      <c r="I300" s="183"/>
      <c r="J300" s="77"/>
      <c r="K300" s="78"/>
      <c r="L300" s="184"/>
    </row>
    <row r="301" spans="1:12" x14ac:dyDescent="0.2">
      <c r="A301" s="10">
        <v>19079</v>
      </c>
      <c r="B301" s="11">
        <v>42425</v>
      </c>
      <c r="C301" s="12">
        <v>160.62</v>
      </c>
      <c r="D301" s="12"/>
      <c r="E301" s="15" t="s">
        <v>566</v>
      </c>
      <c r="H301" s="183"/>
      <c r="I301" s="183"/>
      <c r="J301" s="77"/>
      <c r="K301" s="78"/>
      <c r="L301" s="184"/>
    </row>
    <row r="302" spans="1:12" x14ac:dyDescent="0.2">
      <c r="A302" s="10">
        <v>19080</v>
      </c>
      <c r="B302" s="11">
        <v>42425</v>
      </c>
      <c r="C302" s="12">
        <v>348.89</v>
      </c>
      <c r="D302" s="12">
        <v>26.59</v>
      </c>
      <c r="E302" s="23"/>
      <c r="H302" s="183"/>
      <c r="I302" s="183"/>
      <c r="J302" s="77"/>
      <c r="K302" s="78"/>
      <c r="L302" s="184"/>
    </row>
    <row r="303" spans="1:12" x14ac:dyDescent="0.2">
      <c r="A303" s="10">
        <v>19081</v>
      </c>
      <c r="B303" s="11">
        <v>42425</v>
      </c>
      <c r="C303" s="12">
        <v>270</v>
      </c>
      <c r="D303" s="12">
        <v>20.58</v>
      </c>
      <c r="E303" s="17"/>
      <c r="H303" s="185"/>
      <c r="I303" s="183"/>
      <c r="J303" s="77"/>
      <c r="K303" s="78"/>
      <c r="L303" s="184"/>
    </row>
    <row r="304" spans="1:12" x14ac:dyDescent="0.2">
      <c r="A304" s="10">
        <v>19082</v>
      </c>
      <c r="B304" s="11">
        <v>42425</v>
      </c>
      <c r="C304" s="12">
        <v>347</v>
      </c>
      <c r="D304" s="12">
        <v>26.45</v>
      </c>
      <c r="E304" s="17"/>
      <c r="F304" s="20">
        <f>+C292+C295+C298+C299+C262</f>
        <v>303.05</v>
      </c>
      <c r="G304" s="20">
        <v>299.77</v>
      </c>
      <c r="H304" s="185"/>
      <c r="I304" s="183"/>
      <c r="J304" s="77"/>
      <c r="K304" s="78"/>
      <c r="L304" s="184"/>
    </row>
    <row r="305" spans="1:12" x14ac:dyDescent="0.2">
      <c r="A305" s="10">
        <v>19083</v>
      </c>
      <c r="B305" s="11">
        <v>42426</v>
      </c>
      <c r="C305" s="12">
        <v>15</v>
      </c>
      <c r="D305" s="12">
        <v>1.1399999999999999</v>
      </c>
      <c r="E305" s="17"/>
      <c r="H305" s="185"/>
      <c r="I305" s="183"/>
      <c r="J305" s="77"/>
      <c r="K305" s="78"/>
      <c r="L305" s="184"/>
    </row>
    <row r="306" spans="1:12" x14ac:dyDescent="0.2">
      <c r="A306" s="10">
        <v>19084</v>
      </c>
      <c r="B306" s="11">
        <v>42426</v>
      </c>
      <c r="C306" s="12">
        <v>300</v>
      </c>
      <c r="D306" s="12">
        <v>22.86</v>
      </c>
      <c r="E306" s="17"/>
      <c r="F306" s="18"/>
      <c r="G306" s="19"/>
      <c r="H306" s="185"/>
      <c r="I306" s="183"/>
      <c r="J306" s="77"/>
      <c r="K306" s="78"/>
      <c r="L306" s="184"/>
    </row>
    <row r="307" spans="1:12" x14ac:dyDescent="0.2">
      <c r="A307" s="10">
        <v>19085</v>
      </c>
      <c r="B307" s="11">
        <v>42426</v>
      </c>
      <c r="C307" s="12">
        <v>6</v>
      </c>
      <c r="D307" s="12">
        <v>0.46</v>
      </c>
      <c r="E307" s="17"/>
      <c r="H307" s="185"/>
      <c r="I307" s="183"/>
      <c r="J307" s="77"/>
      <c r="K307" s="78"/>
      <c r="L307" s="184"/>
    </row>
    <row r="308" spans="1:12" x14ac:dyDescent="0.2">
      <c r="A308" s="10">
        <v>19086</v>
      </c>
      <c r="B308" s="11">
        <v>42426</v>
      </c>
      <c r="C308" s="12">
        <v>20</v>
      </c>
      <c r="D308" s="12">
        <v>1.52</v>
      </c>
      <c r="E308" s="17"/>
      <c r="F308" s="18"/>
      <c r="G308" s="19"/>
      <c r="H308" s="185"/>
      <c r="I308" s="183"/>
      <c r="J308" s="77"/>
      <c r="K308" s="78"/>
      <c r="L308" s="184"/>
    </row>
    <row r="309" spans="1:12" x14ac:dyDescent="0.2">
      <c r="A309" s="10">
        <v>19087</v>
      </c>
      <c r="B309" s="11">
        <v>42426</v>
      </c>
      <c r="C309" s="12">
        <v>10</v>
      </c>
      <c r="D309" s="12"/>
      <c r="E309" s="13" t="s">
        <v>253</v>
      </c>
      <c r="F309" s="18"/>
      <c r="G309" s="19"/>
      <c r="H309" s="185"/>
      <c r="I309" s="183"/>
      <c r="J309" s="77"/>
      <c r="K309" s="78"/>
      <c r="L309" s="184"/>
    </row>
    <row r="310" spans="1:12" x14ac:dyDescent="0.2">
      <c r="A310" s="10">
        <v>19088</v>
      </c>
      <c r="B310" s="11">
        <v>42426</v>
      </c>
      <c r="C310" s="12">
        <v>9</v>
      </c>
      <c r="D310" s="12"/>
      <c r="E310" s="15" t="s">
        <v>25</v>
      </c>
      <c r="F310" s="21"/>
      <c r="G310" s="22"/>
      <c r="H310" s="183"/>
      <c r="I310" s="183"/>
      <c r="J310" s="77"/>
      <c r="K310" s="78"/>
      <c r="L310" s="184"/>
    </row>
    <row r="311" spans="1:12" x14ac:dyDescent="0.2">
      <c r="A311" s="10">
        <v>19089</v>
      </c>
      <c r="B311" s="11">
        <v>42426</v>
      </c>
      <c r="C311" s="12">
        <v>27.009999999999998</v>
      </c>
      <c r="D311" s="12">
        <v>2.06</v>
      </c>
      <c r="E311" s="13"/>
      <c r="F311" s="18"/>
      <c r="G311" s="19"/>
      <c r="H311" s="185"/>
      <c r="I311" s="183"/>
      <c r="J311" s="77"/>
      <c r="K311" s="78"/>
      <c r="L311" s="184"/>
    </row>
    <row r="312" spans="1:12" x14ac:dyDescent="0.2">
      <c r="A312" s="10">
        <v>19090</v>
      </c>
      <c r="B312" s="11">
        <v>42426</v>
      </c>
      <c r="C312" s="12">
        <v>25.94</v>
      </c>
      <c r="D312" s="12">
        <v>1.98</v>
      </c>
      <c r="E312" s="15" t="s">
        <v>11</v>
      </c>
      <c r="H312" s="183"/>
      <c r="I312" s="183"/>
      <c r="J312" s="77"/>
      <c r="K312" s="78"/>
      <c r="L312" s="184"/>
    </row>
    <row r="313" spans="1:12" x14ac:dyDescent="0.2">
      <c r="A313" s="10">
        <v>19091</v>
      </c>
      <c r="B313" s="11">
        <v>42426</v>
      </c>
      <c r="C313" s="12">
        <v>63.87</v>
      </c>
      <c r="D313" s="12">
        <v>4.87</v>
      </c>
      <c r="E313" s="15" t="s">
        <v>11</v>
      </c>
      <c r="F313" s="21"/>
      <c r="G313" s="22"/>
      <c r="H313" s="183"/>
      <c r="I313" s="183"/>
      <c r="J313" s="77"/>
      <c r="K313" s="78"/>
      <c r="L313" s="184"/>
    </row>
    <row r="314" spans="1:12" x14ac:dyDescent="0.2">
      <c r="A314" s="10">
        <v>19092</v>
      </c>
      <c r="B314" s="11">
        <v>42426</v>
      </c>
      <c r="C314" s="12">
        <v>12.99</v>
      </c>
      <c r="D314" s="12">
        <v>0.99</v>
      </c>
      <c r="E314" s="15" t="s">
        <v>11</v>
      </c>
      <c r="F314" s="21"/>
      <c r="G314" s="22"/>
      <c r="H314" s="183"/>
      <c r="I314" s="183"/>
      <c r="J314" s="77"/>
      <c r="K314" s="78"/>
      <c r="L314" s="184"/>
    </row>
    <row r="315" spans="1:12" x14ac:dyDescent="0.2">
      <c r="A315" s="10">
        <v>19093</v>
      </c>
      <c r="B315" s="11">
        <v>42426</v>
      </c>
      <c r="C315" s="12">
        <v>8.66</v>
      </c>
      <c r="D315" s="12">
        <v>0.66</v>
      </c>
      <c r="E315" s="13"/>
      <c r="F315" s="18"/>
      <c r="G315" s="19"/>
      <c r="H315" s="185"/>
      <c r="I315" s="183"/>
      <c r="J315" s="77"/>
      <c r="K315" s="78"/>
      <c r="L315" s="184"/>
    </row>
    <row r="316" spans="1:12" x14ac:dyDescent="0.2">
      <c r="A316" s="10">
        <v>19094</v>
      </c>
      <c r="B316" s="11">
        <v>42426</v>
      </c>
      <c r="C316" s="12">
        <v>63.87</v>
      </c>
      <c r="D316" s="12">
        <v>4.87</v>
      </c>
      <c r="E316" s="15" t="s">
        <v>11</v>
      </c>
      <c r="H316" s="183"/>
      <c r="I316" s="183"/>
      <c r="J316" s="77"/>
      <c r="K316" s="78"/>
      <c r="L316" s="184"/>
    </row>
    <row r="317" spans="1:12" x14ac:dyDescent="0.2">
      <c r="A317" s="10">
        <v>19095</v>
      </c>
      <c r="B317" s="11">
        <v>42426</v>
      </c>
      <c r="C317" s="12">
        <v>32.369999999999997</v>
      </c>
      <c r="D317" s="12">
        <v>2.4700000000000002</v>
      </c>
      <c r="E317" s="15" t="s">
        <v>11</v>
      </c>
      <c r="H317" s="183"/>
      <c r="I317" s="183"/>
      <c r="J317" s="77"/>
      <c r="K317" s="78"/>
      <c r="L317" s="184"/>
    </row>
    <row r="318" spans="1:12" x14ac:dyDescent="0.2">
      <c r="A318" s="10">
        <v>19096</v>
      </c>
      <c r="B318" s="11">
        <v>42426</v>
      </c>
      <c r="C318" s="12">
        <v>48.660000000000004</v>
      </c>
      <c r="D318" s="12">
        <v>3.71</v>
      </c>
      <c r="E318" s="15" t="s">
        <v>11</v>
      </c>
      <c r="H318" s="183"/>
      <c r="I318" s="183"/>
      <c r="J318" s="77"/>
      <c r="K318" s="78"/>
      <c r="L318" s="184"/>
    </row>
    <row r="319" spans="1:12" x14ac:dyDescent="0.2">
      <c r="A319" s="10">
        <v>19097</v>
      </c>
      <c r="B319" s="11">
        <v>42426</v>
      </c>
      <c r="C319" s="12">
        <v>60</v>
      </c>
      <c r="D319" s="12">
        <v>4.57</v>
      </c>
      <c r="E319" s="17"/>
      <c r="F319" s="18"/>
      <c r="G319" s="19"/>
      <c r="H319" s="185"/>
      <c r="I319" s="183"/>
      <c r="J319" s="77"/>
      <c r="K319" s="78"/>
      <c r="L319" s="184"/>
    </row>
    <row r="320" spans="1:12" x14ac:dyDescent="0.2">
      <c r="A320" s="10">
        <v>19098</v>
      </c>
      <c r="B320" s="11">
        <v>42426</v>
      </c>
      <c r="C320" s="12">
        <v>200.8</v>
      </c>
      <c r="D320" s="12">
        <v>15.3</v>
      </c>
      <c r="E320" s="15" t="s">
        <v>7</v>
      </c>
      <c r="H320" s="183"/>
      <c r="I320" s="183"/>
      <c r="J320" s="77"/>
      <c r="K320" s="78"/>
      <c r="L320" s="184"/>
    </row>
    <row r="321" spans="1:12" x14ac:dyDescent="0.2">
      <c r="A321" s="10">
        <v>19099</v>
      </c>
      <c r="B321" s="11">
        <v>42426</v>
      </c>
      <c r="C321" s="12">
        <v>112.58</v>
      </c>
      <c r="D321" s="12">
        <v>8.58</v>
      </c>
      <c r="E321" s="15" t="s">
        <v>11</v>
      </c>
      <c r="F321" s="20">
        <f>+C312+C313+C314+C316+C317+C318+136.53+272.38</f>
        <v>656.61</v>
      </c>
      <c r="G321" s="20">
        <v>648.42999999999995</v>
      </c>
      <c r="H321" s="183"/>
      <c r="I321" s="183"/>
      <c r="J321" s="77"/>
      <c r="K321" s="78"/>
      <c r="L321" s="184"/>
    </row>
    <row r="322" spans="1:12" x14ac:dyDescent="0.2">
      <c r="A322" s="10">
        <v>19100</v>
      </c>
      <c r="B322" s="11">
        <v>42427</v>
      </c>
      <c r="C322" s="12">
        <v>69.17</v>
      </c>
      <c r="D322" s="12">
        <v>5.27</v>
      </c>
      <c r="E322" s="15" t="s">
        <v>13</v>
      </c>
      <c r="H322" s="183"/>
      <c r="I322" s="183"/>
      <c r="J322" s="77"/>
      <c r="K322" s="78"/>
      <c r="L322" s="184"/>
    </row>
    <row r="323" spans="1:12" x14ac:dyDescent="0.2">
      <c r="A323" s="10">
        <v>19101</v>
      </c>
      <c r="B323" s="11">
        <v>42427</v>
      </c>
      <c r="C323" s="12">
        <v>150.47</v>
      </c>
      <c r="D323" s="12">
        <v>11.47</v>
      </c>
      <c r="E323" s="17"/>
      <c r="F323" s="18"/>
      <c r="G323" s="19"/>
      <c r="H323" s="185"/>
      <c r="I323" s="183"/>
      <c r="J323" s="77"/>
      <c r="K323" s="78"/>
      <c r="L323" s="184"/>
    </row>
    <row r="324" spans="1:12" x14ac:dyDescent="0.2">
      <c r="A324" s="10">
        <v>19102</v>
      </c>
      <c r="B324" s="11">
        <v>42427</v>
      </c>
      <c r="C324" s="12">
        <v>59.54</v>
      </c>
      <c r="D324" s="12">
        <v>4.54</v>
      </c>
      <c r="E324" s="15" t="s">
        <v>26</v>
      </c>
      <c r="F324" s="21"/>
      <c r="G324" s="22"/>
      <c r="H324" s="183"/>
      <c r="I324" s="183"/>
      <c r="J324" s="77"/>
      <c r="K324" s="78"/>
      <c r="L324" s="184"/>
    </row>
    <row r="325" spans="1:12" x14ac:dyDescent="0.2">
      <c r="A325" s="10">
        <v>19103</v>
      </c>
      <c r="B325" s="11">
        <v>42427</v>
      </c>
      <c r="C325" s="12">
        <v>15.16</v>
      </c>
      <c r="D325" s="12">
        <v>1.1599999999999999</v>
      </c>
      <c r="E325" s="13"/>
      <c r="F325" s="18"/>
      <c r="G325" s="19"/>
      <c r="H325" s="185"/>
      <c r="I325" s="183"/>
      <c r="J325" s="77"/>
      <c r="K325" s="78"/>
      <c r="L325" s="184"/>
    </row>
    <row r="326" spans="1:12" x14ac:dyDescent="0.2">
      <c r="A326" s="10">
        <v>19104</v>
      </c>
      <c r="B326" s="11">
        <v>42427</v>
      </c>
      <c r="C326" s="12">
        <v>222.45</v>
      </c>
      <c r="D326" s="12">
        <v>16.95</v>
      </c>
      <c r="E326" s="15" t="s">
        <v>11</v>
      </c>
      <c r="H326" s="183"/>
      <c r="I326" s="183"/>
      <c r="J326" s="77"/>
      <c r="K326" s="78"/>
      <c r="L326" s="184"/>
    </row>
    <row r="327" spans="1:12" x14ac:dyDescent="0.2">
      <c r="A327" s="10">
        <v>19105</v>
      </c>
      <c r="B327" s="11">
        <v>42427</v>
      </c>
      <c r="C327" s="12">
        <v>253</v>
      </c>
      <c r="D327" s="12">
        <v>19.28</v>
      </c>
      <c r="E327" s="15"/>
      <c r="F327" s="21"/>
      <c r="G327" s="22"/>
      <c r="H327" s="183"/>
      <c r="I327" s="183"/>
      <c r="J327" s="77"/>
      <c r="K327" s="78"/>
      <c r="L327" s="184"/>
    </row>
    <row r="328" spans="1:12" x14ac:dyDescent="0.2">
      <c r="A328" s="10">
        <v>19106</v>
      </c>
      <c r="B328" s="11">
        <v>42427</v>
      </c>
      <c r="C328" s="12">
        <v>30.31</v>
      </c>
      <c r="D328" s="12">
        <v>2.31</v>
      </c>
      <c r="E328" s="15" t="s">
        <v>11</v>
      </c>
      <c r="H328" s="183"/>
      <c r="I328" s="183"/>
      <c r="J328" s="77"/>
      <c r="K328" s="78"/>
      <c r="L328" s="184"/>
    </row>
    <row r="329" spans="1:12" x14ac:dyDescent="0.2">
      <c r="A329" s="10">
        <v>19107</v>
      </c>
      <c r="B329" s="11">
        <v>42427</v>
      </c>
      <c r="C329" s="12">
        <v>90</v>
      </c>
      <c r="D329" s="12"/>
      <c r="E329" s="13" t="s">
        <v>8</v>
      </c>
      <c r="H329" s="185"/>
      <c r="I329" s="183"/>
      <c r="J329" s="77"/>
      <c r="K329" s="78"/>
      <c r="L329" s="184"/>
    </row>
    <row r="330" spans="1:12" x14ac:dyDescent="0.2">
      <c r="A330" s="10">
        <v>19108</v>
      </c>
      <c r="B330" s="11">
        <v>42427</v>
      </c>
      <c r="C330" s="12">
        <v>47.63</v>
      </c>
      <c r="D330" s="12">
        <v>3.63</v>
      </c>
      <c r="E330" s="15" t="s">
        <v>11</v>
      </c>
      <c r="F330" s="21"/>
      <c r="G330" s="22"/>
      <c r="H330" s="183"/>
      <c r="I330" s="183"/>
      <c r="J330" s="77"/>
      <c r="K330" s="78"/>
      <c r="L330" s="184"/>
    </row>
    <row r="331" spans="1:12" x14ac:dyDescent="0.2">
      <c r="A331" s="10">
        <v>19109</v>
      </c>
      <c r="B331" s="11">
        <v>42427</v>
      </c>
      <c r="C331" s="12">
        <v>258.72000000000003</v>
      </c>
      <c r="D331" s="12">
        <v>19.72</v>
      </c>
      <c r="E331" s="15" t="s">
        <v>588</v>
      </c>
      <c r="H331" s="183"/>
      <c r="I331" s="183"/>
      <c r="J331" s="77"/>
      <c r="K331" s="78"/>
      <c r="L331" s="184"/>
    </row>
    <row r="332" spans="1:12" x14ac:dyDescent="0.2">
      <c r="A332" s="10">
        <v>19110</v>
      </c>
      <c r="B332" s="11">
        <v>42427</v>
      </c>
      <c r="C332" s="12">
        <v>20.57</v>
      </c>
      <c r="D332" s="12">
        <v>1.57</v>
      </c>
      <c r="E332" s="15" t="s">
        <v>11</v>
      </c>
      <c r="H332" s="183"/>
      <c r="I332" s="183"/>
      <c r="J332" s="77"/>
      <c r="K332" s="78"/>
      <c r="L332" s="184"/>
    </row>
    <row r="333" spans="1:12" x14ac:dyDescent="0.2">
      <c r="A333" s="10">
        <v>19111</v>
      </c>
      <c r="B333" s="11">
        <v>42427</v>
      </c>
      <c r="C333" s="12">
        <v>38</v>
      </c>
      <c r="D333" s="12"/>
      <c r="E333" s="15" t="s">
        <v>16</v>
      </c>
      <c r="H333" s="183"/>
      <c r="I333" s="183"/>
      <c r="J333" s="77"/>
      <c r="K333" s="78"/>
      <c r="L333" s="184"/>
    </row>
    <row r="334" spans="1:12" x14ac:dyDescent="0.2">
      <c r="A334" s="10">
        <v>19112</v>
      </c>
      <c r="B334" s="11">
        <v>42427</v>
      </c>
      <c r="C334" s="12">
        <v>75.78</v>
      </c>
      <c r="D334" s="12">
        <v>5.78</v>
      </c>
      <c r="E334" s="17"/>
      <c r="H334" s="185"/>
      <c r="I334" s="183"/>
      <c r="J334" s="77"/>
      <c r="K334" s="78"/>
      <c r="L334" s="184"/>
    </row>
    <row r="335" spans="1:12" x14ac:dyDescent="0.2">
      <c r="A335" s="10">
        <v>19113</v>
      </c>
      <c r="B335" s="11">
        <v>42427</v>
      </c>
      <c r="C335" s="12">
        <v>387.54</v>
      </c>
      <c r="D335" s="12">
        <v>29.54</v>
      </c>
      <c r="E335" s="15" t="s">
        <v>589</v>
      </c>
      <c r="H335" s="183"/>
      <c r="I335" s="183"/>
      <c r="J335" s="77"/>
      <c r="K335" s="78"/>
      <c r="L335" s="184"/>
    </row>
    <row r="336" spans="1:12" x14ac:dyDescent="0.2">
      <c r="A336" s="10">
        <v>19114</v>
      </c>
      <c r="B336" s="11">
        <v>42427</v>
      </c>
      <c r="C336" s="12">
        <v>91.36</v>
      </c>
      <c r="D336" s="12">
        <v>6.96</v>
      </c>
      <c r="E336" s="17"/>
      <c r="F336" s="18"/>
      <c r="G336" s="19"/>
      <c r="H336" s="185"/>
      <c r="I336" s="183"/>
      <c r="J336" s="77"/>
      <c r="K336" s="78"/>
      <c r="L336" s="184"/>
    </row>
    <row r="337" spans="1:12" x14ac:dyDescent="0.2">
      <c r="A337" s="10">
        <v>19115</v>
      </c>
      <c r="B337" s="11">
        <v>42427</v>
      </c>
      <c r="C337" s="12">
        <v>33.5</v>
      </c>
      <c r="D337" s="12"/>
      <c r="E337" s="15" t="s">
        <v>16</v>
      </c>
      <c r="F337" s="20">
        <f>+C326+C322+C328+C330+C332+230</f>
        <v>620.13</v>
      </c>
      <c r="G337" s="20">
        <v>610.86</v>
      </c>
      <c r="H337" s="183"/>
      <c r="I337" s="183"/>
      <c r="J337" s="77"/>
      <c r="K337" s="78"/>
      <c r="L337" s="184"/>
    </row>
    <row r="338" spans="1:12" x14ac:dyDescent="0.2">
      <c r="A338" s="10">
        <v>19116</v>
      </c>
      <c r="B338" s="11">
        <v>42429</v>
      </c>
      <c r="C338" s="12">
        <v>23.759999999999998</v>
      </c>
      <c r="D338" s="12">
        <v>1.81</v>
      </c>
      <c r="E338" s="15" t="s">
        <v>11</v>
      </c>
      <c r="H338" s="183"/>
      <c r="I338" s="183"/>
      <c r="J338" s="77"/>
      <c r="K338" s="78"/>
      <c r="L338" s="184"/>
    </row>
    <row r="339" spans="1:12" x14ac:dyDescent="0.2">
      <c r="A339" s="10">
        <v>19117</v>
      </c>
      <c r="B339" s="11">
        <v>42429</v>
      </c>
      <c r="C339" s="12">
        <v>0</v>
      </c>
      <c r="D339" s="12">
        <v>0</v>
      </c>
      <c r="E339" s="15" t="s">
        <v>87</v>
      </c>
      <c r="H339" s="183"/>
      <c r="I339" s="183"/>
      <c r="J339" s="77"/>
      <c r="K339" s="78"/>
      <c r="L339" s="184"/>
    </row>
    <row r="340" spans="1:12" x14ac:dyDescent="0.2">
      <c r="A340" s="10">
        <v>19118</v>
      </c>
      <c r="B340" s="11">
        <v>42429</v>
      </c>
      <c r="C340" s="12">
        <v>873.58</v>
      </c>
      <c r="D340" s="12">
        <v>66.58</v>
      </c>
      <c r="E340" s="13" t="s">
        <v>590</v>
      </c>
      <c r="F340" s="18"/>
      <c r="G340" s="19"/>
      <c r="H340" s="185"/>
      <c r="I340" s="183"/>
      <c r="J340" s="77"/>
      <c r="K340" s="78"/>
      <c r="L340" s="184"/>
    </row>
    <row r="341" spans="1:12" x14ac:dyDescent="0.2">
      <c r="A341" s="10">
        <v>19119</v>
      </c>
      <c r="B341" s="11">
        <v>42429</v>
      </c>
      <c r="C341" s="12">
        <v>70</v>
      </c>
      <c r="D341" s="12">
        <v>5.33</v>
      </c>
      <c r="E341" s="15"/>
      <c r="F341" s="21"/>
      <c r="G341" s="22"/>
      <c r="H341" s="183"/>
      <c r="I341" s="183"/>
      <c r="J341" s="77"/>
      <c r="K341" s="78"/>
      <c r="L341" s="184"/>
    </row>
    <row r="342" spans="1:12" x14ac:dyDescent="0.2">
      <c r="A342" s="10">
        <v>19120</v>
      </c>
      <c r="B342" s="11">
        <v>42429</v>
      </c>
      <c r="C342" s="12">
        <v>138.56</v>
      </c>
      <c r="D342" s="12">
        <v>10.56</v>
      </c>
      <c r="E342" s="15" t="s">
        <v>11</v>
      </c>
      <c r="H342" s="183"/>
      <c r="I342" s="183"/>
      <c r="J342" s="77"/>
      <c r="K342" s="78"/>
      <c r="L342" s="184"/>
    </row>
    <row r="343" spans="1:12" x14ac:dyDescent="0.2">
      <c r="A343" s="10">
        <v>19121</v>
      </c>
      <c r="B343" s="11">
        <v>42429</v>
      </c>
      <c r="C343" s="12">
        <v>110.79</v>
      </c>
      <c r="D343" s="12"/>
      <c r="E343" s="15" t="s">
        <v>566</v>
      </c>
      <c r="H343" s="183"/>
      <c r="I343" s="183"/>
      <c r="J343" s="77"/>
      <c r="K343" s="78"/>
      <c r="L343" s="184"/>
    </row>
    <row r="344" spans="1:12" x14ac:dyDescent="0.2">
      <c r="A344" s="10">
        <v>19122</v>
      </c>
      <c r="B344" s="11">
        <v>42429</v>
      </c>
      <c r="C344" s="12">
        <v>226.51</v>
      </c>
      <c r="D344" s="12">
        <v>17.260000000000002</v>
      </c>
      <c r="E344" s="15" t="s">
        <v>11</v>
      </c>
      <c r="H344" s="183"/>
      <c r="I344" s="183"/>
      <c r="J344" s="77"/>
      <c r="K344" s="78"/>
      <c r="L344" s="184"/>
    </row>
    <row r="345" spans="1:12" x14ac:dyDescent="0.2">
      <c r="A345" s="10">
        <v>19123</v>
      </c>
      <c r="B345" s="11">
        <v>42429</v>
      </c>
      <c r="C345" s="12">
        <v>216.5</v>
      </c>
      <c r="D345" s="12">
        <v>16.5</v>
      </c>
      <c r="E345" s="15" t="s">
        <v>7</v>
      </c>
      <c r="F345" s="115"/>
      <c r="G345" s="115"/>
      <c r="H345" s="183"/>
      <c r="I345" s="183"/>
      <c r="J345" s="77"/>
      <c r="K345" s="78"/>
      <c r="L345" s="184"/>
    </row>
    <row r="346" spans="1:12" x14ac:dyDescent="0.2">
      <c r="A346" s="10">
        <v>19124</v>
      </c>
      <c r="B346" s="11">
        <v>42429</v>
      </c>
      <c r="C346" s="12">
        <v>23.759999999999998</v>
      </c>
      <c r="D346" s="12">
        <v>1.81</v>
      </c>
      <c r="E346" s="15" t="s">
        <v>7</v>
      </c>
      <c r="F346" s="21"/>
      <c r="G346" s="22"/>
      <c r="H346" s="183"/>
      <c r="I346" s="183"/>
      <c r="J346" s="77"/>
      <c r="K346" s="78"/>
      <c r="L346" s="184"/>
    </row>
    <row r="347" spans="1:12" x14ac:dyDescent="0.2">
      <c r="A347" s="10">
        <v>19125</v>
      </c>
      <c r="B347" s="11">
        <v>42429</v>
      </c>
      <c r="C347" s="12">
        <v>213.25</v>
      </c>
      <c r="D347" s="12">
        <v>16.25</v>
      </c>
      <c r="E347" s="15" t="s">
        <v>11</v>
      </c>
      <c r="H347" s="183"/>
      <c r="I347" s="183"/>
      <c r="J347" s="77"/>
      <c r="K347" s="78"/>
      <c r="L347" s="184"/>
    </row>
    <row r="348" spans="1:12" x14ac:dyDescent="0.2">
      <c r="A348" s="10">
        <v>19126</v>
      </c>
      <c r="B348" s="11">
        <v>42429</v>
      </c>
      <c r="C348" s="12">
        <v>22.68</v>
      </c>
      <c r="D348" s="12">
        <v>1.73</v>
      </c>
      <c r="E348" s="15" t="s">
        <v>7</v>
      </c>
      <c r="H348" s="183"/>
      <c r="I348" s="183"/>
      <c r="J348" s="77"/>
      <c r="K348" s="78"/>
      <c r="L348" s="184"/>
    </row>
    <row r="349" spans="1:12" x14ac:dyDescent="0.2">
      <c r="A349" s="10">
        <v>19127</v>
      </c>
      <c r="B349" s="11">
        <v>42429</v>
      </c>
      <c r="C349" s="12">
        <v>205.13</v>
      </c>
      <c r="D349" s="12">
        <v>15.63</v>
      </c>
      <c r="E349" s="15" t="s">
        <v>21</v>
      </c>
      <c r="H349" s="183"/>
      <c r="I349" s="183"/>
      <c r="J349" s="77"/>
      <c r="K349" s="78"/>
      <c r="L349" s="184"/>
    </row>
    <row r="350" spans="1:12" x14ac:dyDescent="0.2">
      <c r="A350" s="10">
        <v>19128</v>
      </c>
      <c r="B350" s="11">
        <v>42429</v>
      </c>
      <c r="C350" s="12">
        <v>6.44</v>
      </c>
      <c r="D350" s="12">
        <v>0.49</v>
      </c>
      <c r="E350" s="15" t="s">
        <v>11</v>
      </c>
      <c r="H350" s="183"/>
      <c r="I350" s="183"/>
      <c r="J350" s="77"/>
      <c r="K350" s="78"/>
      <c r="L350" s="184"/>
    </row>
    <row r="351" spans="1:12" x14ac:dyDescent="0.2">
      <c r="A351" s="10">
        <v>19129</v>
      </c>
      <c r="B351" s="11">
        <v>42429</v>
      </c>
      <c r="C351" s="12">
        <v>35.67</v>
      </c>
      <c r="D351" s="12">
        <v>2.72</v>
      </c>
      <c r="E351" s="15" t="s">
        <v>11</v>
      </c>
      <c r="F351" s="21"/>
      <c r="G351" s="22"/>
      <c r="H351" s="183"/>
      <c r="I351" s="183"/>
      <c r="J351" s="77"/>
      <c r="K351" s="78"/>
      <c r="L351" s="184"/>
    </row>
    <row r="352" spans="1:12" x14ac:dyDescent="0.2">
      <c r="A352" s="10">
        <v>19130</v>
      </c>
      <c r="B352" s="11">
        <v>42429</v>
      </c>
      <c r="C352" s="12">
        <v>125.57</v>
      </c>
      <c r="D352" s="12">
        <v>9.57</v>
      </c>
      <c r="E352" s="15" t="s">
        <v>11</v>
      </c>
      <c r="H352" s="183"/>
      <c r="I352" s="183"/>
      <c r="J352" s="77"/>
      <c r="K352" s="78"/>
      <c r="L352" s="184"/>
    </row>
    <row r="353" spans="1:12" x14ac:dyDescent="0.2">
      <c r="A353" s="10">
        <v>19131</v>
      </c>
      <c r="B353" s="11">
        <v>42429</v>
      </c>
      <c r="C353" s="12">
        <v>66.25</v>
      </c>
      <c r="D353" s="12">
        <v>5.05</v>
      </c>
      <c r="E353" s="15" t="s">
        <v>11</v>
      </c>
      <c r="H353" s="183"/>
      <c r="I353" s="183"/>
      <c r="J353" s="77"/>
      <c r="K353" s="78"/>
      <c r="L353" s="184"/>
    </row>
    <row r="354" spans="1:12" x14ac:dyDescent="0.2">
      <c r="A354" s="10">
        <v>19132</v>
      </c>
      <c r="B354" s="11">
        <v>42429</v>
      </c>
      <c r="C354" s="12">
        <v>425.31</v>
      </c>
      <c r="D354" s="12">
        <v>32.409999999999997</v>
      </c>
      <c r="E354" s="15" t="s">
        <v>471</v>
      </c>
      <c r="F354" s="20">
        <f>+C338+C342+2338+C345+C346+C347+C344+110.55+C348+C350+C351+C352+C353</f>
        <v>3547.5000000000005</v>
      </c>
      <c r="G354" s="20">
        <v>3468.17</v>
      </c>
      <c r="H354" s="183"/>
      <c r="I354" s="183"/>
      <c r="J354" s="77"/>
      <c r="K354" s="78"/>
      <c r="L354" s="184"/>
    </row>
    <row r="355" spans="1:12" x14ac:dyDescent="0.2">
      <c r="A355" s="10"/>
      <c r="E355" s="26"/>
      <c r="F355" s="77"/>
      <c r="G355" s="77"/>
      <c r="H355" s="199"/>
      <c r="I355" s="184"/>
      <c r="J355" s="184"/>
      <c r="K355" s="184"/>
      <c r="L355" s="184"/>
    </row>
    <row r="356" spans="1:12" x14ac:dyDescent="0.2">
      <c r="E356" s="26"/>
      <c r="F356" s="77"/>
      <c r="G356" s="77"/>
      <c r="H356" s="199"/>
      <c r="I356" s="197">
        <f ca="1">H1-WEEKDAY(H1,3)-7</f>
        <v>43171</v>
      </c>
      <c r="J356" s="198" t="e">
        <f t="shared" ref="J356:J369" ca="1" si="0">SUMIF(INDIRECT(TEXT(I356,"'mmm-yy'")&amp;"!B3:B400"),I356,INDIRECT(TEXT(I356,"'mmm-yy'")&amp;"!C3:C400"))</f>
        <v>#REF!</v>
      </c>
      <c r="K356" s="198"/>
      <c r="L356" s="184"/>
    </row>
    <row r="357" spans="1:12" x14ac:dyDescent="0.2">
      <c r="E357" s="26"/>
      <c r="F357" s="77"/>
      <c r="G357" s="77"/>
      <c r="H357" s="199"/>
      <c r="I357" s="197">
        <f t="shared" ref="I357:I369" ca="1" si="1">I356+1</f>
        <v>43172</v>
      </c>
      <c r="J357" s="198" t="e">
        <f t="shared" ca="1" si="0"/>
        <v>#REF!</v>
      </c>
      <c r="K357" s="198"/>
      <c r="L357" s="184"/>
    </row>
    <row r="358" spans="1:12" x14ac:dyDescent="0.2">
      <c r="E358" s="26"/>
      <c r="F358" s="77"/>
      <c r="G358" s="77"/>
      <c r="H358" s="199"/>
      <c r="I358" s="197">
        <f t="shared" ca="1" si="1"/>
        <v>43173</v>
      </c>
      <c r="J358" s="198" t="e">
        <f t="shared" ca="1" si="0"/>
        <v>#REF!</v>
      </c>
      <c r="K358" s="198"/>
      <c r="L358" s="184"/>
    </row>
    <row r="359" spans="1:12" x14ac:dyDescent="0.2">
      <c r="E359" s="26"/>
      <c r="F359" s="77"/>
      <c r="G359" s="77"/>
      <c r="H359" s="199"/>
      <c r="I359" s="197">
        <f t="shared" ca="1" si="1"/>
        <v>43174</v>
      </c>
      <c r="J359" s="198" t="e">
        <f t="shared" ca="1" si="0"/>
        <v>#REF!</v>
      </c>
      <c r="K359" s="198"/>
      <c r="L359" s="184"/>
    </row>
    <row r="360" spans="1:12" x14ac:dyDescent="0.2">
      <c r="E360" s="26"/>
      <c r="F360" s="77"/>
      <c r="G360" s="77"/>
      <c r="H360" s="199"/>
      <c r="I360" s="197">
        <f t="shared" ca="1" si="1"/>
        <v>43175</v>
      </c>
      <c r="J360" s="198" t="e">
        <f t="shared" ca="1" si="0"/>
        <v>#REF!</v>
      </c>
      <c r="K360" s="184"/>
      <c r="L360" s="184"/>
    </row>
    <row r="361" spans="1:12" x14ac:dyDescent="0.2">
      <c r="E361" s="26"/>
      <c r="F361" s="77"/>
      <c r="G361" s="77"/>
      <c r="H361" s="199"/>
      <c r="I361" s="197">
        <f t="shared" ca="1" si="1"/>
        <v>43176</v>
      </c>
      <c r="J361" s="198" t="e">
        <f t="shared" ca="1" si="0"/>
        <v>#REF!</v>
      </c>
      <c r="K361" s="184"/>
      <c r="L361" s="184"/>
    </row>
    <row r="362" spans="1:12" x14ac:dyDescent="0.2">
      <c r="E362" s="26"/>
      <c r="F362" s="77"/>
      <c r="G362" s="77"/>
      <c r="H362" s="199"/>
      <c r="I362" s="197">
        <f t="shared" ca="1" si="1"/>
        <v>43177</v>
      </c>
      <c r="J362" s="198" t="e">
        <f t="shared" ca="1" si="0"/>
        <v>#REF!</v>
      </c>
      <c r="K362" s="198" t="e">
        <f ca="1">SUM(J356:J362)</f>
        <v>#REF!</v>
      </c>
      <c r="L362" s="184"/>
    </row>
    <row r="363" spans="1:12" x14ac:dyDescent="0.2">
      <c r="E363" s="26"/>
      <c r="F363" s="77"/>
      <c r="G363" s="77"/>
      <c r="H363" s="199"/>
      <c r="I363" s="197">
        <f t="shared" ca="1" si="1"/>
        <v>43178</v>
      </c>
      <c r="J363" s="198" t="e">
        <f t="shared" ca="1" si="0"/>
        <v>#REF!</v>
      </c>
      <c r="K363" s="198"/>
      <c r="L363" s="184"/>
    </row>
    <row r="364" spans="1:12" x14ac:dyDescent="0.2">
      <c r="E364" s="26"/>
      <c r="F364" s="77"/>
      <c r="G364" s="77"/>
      <c r="H364" s="199"/>
      <c r="I364" s="197">
        <f t="shared" ca="1" si="1"/>
        <v>43179</v>
      </c>
      <c r="J364" s="198" t="e">
        <f t="shared" ca="1" si="0"/>
        <v>#REF!</v>
      </c>
      <c r="K364" s="198"/>
      <c r="L364" s="184"/>
    </row>
    <row r="365" spans="1:12" x14ac:dyDescent="0.2">
      <c r="E365" s="26"/>
      <c r="F365" s="77"/>
      <c r="G365" s="77"/>
      <c r="H365" s="199"/>
      <c r="I365" s="197">
        <f t="shared" ca="1" si="1"/>
        <v>43180</v>
      </c>
      <c r="J365" s="198" t="e">
        <f t="shared" ca="1" si="0"/>
        <v>#REF!</v>
      </c>
      <c r="K365" s="198"/>
      <c r="L365" s="184"/>
    </row>
    <row r="366" spans="1:12" x14ac:dyDescent="0.2">
      <c r="E366" s="26"/>
      <c r="F366" s="77"/>
      <c r="G366" s="77"/>
      <c r="H366" s="199"/>
      <c r="I366" s="197">
        <f t="shared" ca="1" si="1"/>
        <v>43181</v>
      </c>
      <c r="J366" s="198" t="e">
        <f t="shared" ca="1" si="0"/>
        <v>#REF!</v>
      </c>
      <c r="K366" s="198"/>
      <c r="L366" s="203"/>
    </row>
    <row r="367" spans="1:12" s="29" customFormat="1" x14ac:dyDescent="0.2">
      <c r="A367" s="4"/>
      <c r="B367" s="11"/>
      <c r="C367" s="25"/>
      <c r="D367" s="4"/>
      <c r="E367" s="26"/>
      <c r="F367" s="77"/>
      <c r="G367" s="77"/>
      <c r="H367" s="199"/>
      <c r="I367" s="197">
        <f t="shared" ca="1" si="1"/>
        <v>43182</v>
      </c>
      <c r="J367" s="198" t="e">
        <f t="shared" ca="1" si="0"/>
        <v>#REF!</v>
      </c>
      <c r="K367" s="198"/>
      <c r="L367" s="203"/>
    </row>
    <row r="368" spans="1:12" s="29" customFormat="1" x14ac:dyDescent="0.2">
      <c r="A368" s="4"/>
      <c r="B368" s="11"/>
      <c r="C368" s="25"/>
      <c r="D368" s="4"/>
      <c r="E368" s="26"/>
      <c r="F368" s="77"/>
      <c r="G368" s="77"/>
      <c r="H368" s="204"/>
      <c r="I368" s="197">
        <f t="shared" ca="1" si="1"/>
        <v>43183</v>
      </c>
      <c r="J368" s="198" t="e">
        <f t="shared" ca="1" si="0"/>
        <v>#REF!</v>
      </c>
      <c r="K368" s="198"/>
      <c r="L368" s="184"/>
    </row>
    <row r="369" spans="1:12" x14ac:dyDescent="0.2">
      <c r="A369" s="29"/>
      <c r="B369" s="30"/>
      <c r="C369" s="31"/>
      <c r="D369" s="29"/>
      <c r="E369" s="32"/>
      <c r="F369" s="205"/>
      <c r="G369" s="205"/>
      <c r="H369" s="204"/>
      <c r="I369" s="197">
        <f t="shared" ca="1" si="1"/>
        <v>43184</v>
      </c>
      <c r="J369" s="198" t="e">
        <f t="shared" ca="1" si="0"/>
        <v>#REF!</v>
      </c>
      <c r="K369" s="198" t="e">
        <f ca="1">SUM(J363:J369)</f>
        <v>#REF!</v>
      </c>
      <c r="L369" s="184"/>
    </row>
    <row r="370" spans="1:12" x14ac:dyDescent="0.2">
      <c r="A370" s="29"/>
      <c r="B370" s="30"/>
      <c r="C370" s="31"/>
      <c r="D370" s="29"/>
      <c r="E370" s="32"/>
      <c r="F370" s="205"/>
      <c r="G370" s="205"/>
      <c r="H370" s="199"/>
      <c r="I370" s="184"/>
      <c r="J370" s="184"/>
      <c r="K370" s="184"/>
      <c r="L370" s="184"/>
    </row>
    <row r="371" spans="1:12" x14ac:dyDescent="0.2">
      <c r="E371" s="26"/>
      <c r="F371" s="77"/>
      <c r="G371" s="77"/>
      <c r="H371" s="199"/>
      <c r="I371" s="184"/>
      <c r="J371" s="184"/>
      <c r="K371" s="184"/>
      <c r="L371" s="184"/>
    </row>
    <row r="372" spans="1:12" x14ac:dyDescent="0.2">
      <c r="E372" s="26"/>
      <c r="F372" s="77"/>
      <c r="G372" s="77"/>
      <c r="H372" s="199"/>
      <c r="I372" s="184"/>
      <c r="J372" s="184"/>
      <c r="K372" s="184"/>
      <c r="L372" s="184"/>
    </row>
    <row r="373" spans="1:12" x14ac:dyDescent="0.2">
      <c r="E373" s="26"/>
      <c r="F373" s="77"/>
      <c r="G373" s="77"/>
      <c r="H373" s="199"/>
      <c r="I373" s="184"/>
      <c r="J373" s="184"/>
      <c r="K373" s="184"/>
      <c r="L373" s="184"/>
    </row>
    <row r="374" spans="1:12" x14ac:dyDescent="0.2">
      <c r="E374" s="26"/>
      <c r="F374" s="77"/>
      <c r="G374" s="77"/>
      <c r="H374" s="85"/>
      <c r="I374" s="77"/>
      <c r="J374" s="77"/>
      <c r="K374" s="77"/>
      <c r="L374" s="77"/>
    </row>
    <row r="375" spans="1:12" x14ac:dyDescent="0.2">
      <c r="E375" s="26"/>
      <c r="F375" s="77"/>
      <c r="G375" s="77"/>
      <c r="H375" s="85"/>
      <c r="I375" s="77"/>
      <c r="J375" s="77"/>
      <c r="K375" s="77"/>
      <c r="L375" s="77"/>
    </row>
    <row r="376" spans="1:12" x14ac:dyDescent="0.2">
      <c r="E376" s="26"/>
      <c r="F376" s="77"/>
      <c r="G376" s="77"/>
      <c r="H376" s="85"/>
      <c r="I376" s="77"/>
      <c r="J376" s="77"/>
      <c r="K376" s="77"/>
    </row>
    <row r="377" spans="1:12" x14ac:dyDescent="0.2">
      <c r="E377" s="26"/>
      <c r="F377" s="77"/>
      <c r="G377" s="77"/>
      <c r="H377" s="85"/>
      <c r="I377" s="77"/>
      <c r="J377" s="77"/>
      <c r="K377" s="77"/>
    </row>
    <row r="378" spans="1:12" x14ac:dyDescent="0.2">
      <c r="E378" s="26"/>
    </row>
    <row r="379" spans="1:12" x14ac:dyDescent="0.2">
      <c r="E379" s="26"/>
    </row>
    <row r="380" spans="1:12" x14ac:dyDescent="0.2">
      <c r="E380" s="26"/>
    </row>
    <row r="381" spans="1:12" x14ac:dyDescent="0.2">
      <c r="E381" s="26"/>
    </row>
    <row r="382" spans="1:12" x14ac:dyDescent="0.2">
      <c r="E382" s="26"/>
    </row>
    <row r="383" spans="1:12" x14ac:dyDescent="0.2">
      <c r="E383" s="26"/>
    </row>
    <row r="384" spans="1:12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  <row r="3289" spans="5:5" x14ac:dyDescent="0.2">
      <c r="E3289" s="26"/>
    </row>
    <row r="3290" spans="5:5" x14ac:dyDescent="0.2">
      <c r="E3290" s="26"/>
    </row>
    <row r="3291" spans="5:5" x14ac:dyDescent="0.2">
      <c r="E3291" s="26"/>
    </row>
    <row r="3292" spans="5:5" x14ac:dyDescent="0.2">
      <c r="E3292" s="26"/>
    </row>
    <row r="3293" spans="5:5" x14ac:dyDescent="0.2">
      <c r="E3293" s="26"/>
    </row>
    <row r="3294" spans="5:5" x14ac:dyDescent="0.2">
      <c r="E3294" s="26"/>
    </row>
    <row r="3295" spans="5:5" x14ac:dyDescent="0.2">
      <c r="E3295" s="26"/>
    </row>
    <row r="3296" spans="5:5" x14ac:dyDescent="0.2">
      <c r="E3296" s="26"/>
    </row>
    <row r="3297" spans="5:5" x14ac:dyDescent="0.2">
      <c r="E3297" s="26"/>
    </row>
    <row r="3298" spans="5:5" x14ac:dyDescent="0.2">
      <c r="E3298" s="26"/>
    </row>
    <row r="3299" spans="5:5" x14ac:dyDescent="0.2">
      <c r="E3299" s="26"/>
    </row>
    <row r="3300" spans="5:5" x14ac:dyDescent="0.2">
      <c r="E3300" s="26"/>
    </row>
    <row r="3301" spans="5:5" x14ac:dyDescent="0.2">
      <c r="E3301" s="26"/>
    </row>
    <row r="3302" spans="5:5" x14ac:dyDescent="0.2">
      <c r="E3302" s="26"/>
    </row>
    <row r="3303" spans="5:5" x14ac:dyDescent="0.2">
      <c r="E3303" s="26"/>
    </row>
    <row r="3304" spans="5:5" x14ac:dyDescent="0.2">
      <c r="E3304" s="26"/>
    </row>
    <row r="3305" spans="5:5" x14ac:dyDescent="0.2">
      <c r="E3305" s="26"/>
    </row>
    <row r="3306" spans="5:5" x14ac:dyDescent="0.2">
      <c r="E3306" s="26"/>
    </row>
    <row r="3307" spans="5:5" x14ac:dyDescent="0.2">
      <c r="E3307" s="26"/>
    </row>
    <row r="3308" spans="5:5" x14ac:dyDescent="0.2">
      <c r="E3308" s="26"/>
    </row>
    <row r="3309" spans="5:5" x14ac:dyDescent="0.2">
      <c r="E3309" s="26"/>
    </row>
    <row r="3310" spans="5:5" x14ac:dyDescent="0.2">
      <c r="E3310" s="26"/>
    </row>
    <row r="3311" spans="5:5" x14ac:dyDescent="0.2">
      <c r="E3311" s="26"/>
    </row>
    <row r="3312" spans="5:5" x14ac:dyDescent="0.2">
      <c r="E3312" s="26"/>
    </row>
    <row r="3313" spans="5:5" x14ac:dyDescent="0.2">
      <c r="E3313" s="26"/>
    </row>
    <row r="3314" spans="5:5" x14ac:dyDescent="0.2">
      <c r="E3314" s="26"/>
    </row>
    <row r="3315" spans="5:5" x14ac:dyDescent="0.2">
      <c r="E3315" s="26"/>
    </row>
    <row r="3316" spans="5:5" x14ac:dyDescent="0.2">
      <c r="E3316" s="26"/>
    </row>
    <row r="3317" spans="5:5" x14ac:dyDescent="0.2">
      <c r="E3317" s="26"/>
    </row>
    <row r="3318" spans="5:5" x14ac:dyDescent="0.2">
      <c r="E3318" s="26"/>
    </row>
    <row r="3319" spans="5:5" x14ac:dyDescent="0.2">
      <c r="E3319" s="26"/>
    </row>
    <row r="3320" spans="5:5" x14ac:dyDescent="0.2">
      <c r="E3320" s="26"/>
    </row>
    <row r="3321" spans="5:5" x14ac:dyDescent="0.2">
      <c r="E3321" s="26"/>
    </row>
    <row r="3322" spans="5:5" x14ac:dyDescent="0.2">
      <c r="E3322" s="26"/>
    </row>
    <row r="3323" spans="5:5" x14ac:dyDescent="0.2">
      <c r="E3323" s="26"/>
    </row>
    <row r="3324" spans="5:5" x14ac:dyDescent="0.2">
      <c r="E3324" s="26"/>
    </row>
    <row r="3325" spans="5:5" x14ac:dyDescent="0.2">
      <c r="E3325" s="26"/>
    </row>
    <row r="3326" spans="5:5" x14ac:dyDescent="0.2">
      <c r="E3326" s="26"/>
    </row>
    <row r="3327" spans="5:5" x14ac:dyDescent="0.2">
      <c r="E3327" s="26"/>
    </row>
    <row r="3328" spans="5:5" x14ac:dyDescent="0.2">
      <c r="E3328" s="26"/>
    </row>
    <row r="3329" spans="5:5" x14ac:dyDescent="0.2">
      <c r="E3329" s="26"/>
    </row>
    <row r="3330" spans="5:5" x14ac:dyDescent="0.2">
      <c r="E3330" s="26"/>
    </row>
    <row r="3331" spans="5:5" x14ac:dyDescent="0.2">
      <c r="E3331" s="26"/>
    </row>
    <row r="3332" spans="5:5" x14ac:dyDescent="0.2">
      <c r="E3332" s="26"/>
    </row>
    <row r="3333" spans="5:5" x14ac:dyDescent="0.2">
      <c r="E3333" s="26"/>
    </row>
    <row r="3334" spans="5:5" x14ac:dyDescent="0.2">
      <c r="E3334" s="26"/>
    </row>
    <row r="3335" spans="5:5" x14ac:dyDescent="0.2">
      <c r="E3335" s="26"/>
    </row>
    <row r="3336" spans="5:5" x14ac:dyDescent="0.2">
      <c r="E3336" s="26"/>
    </row>
    <row r="3337" spans="5:5" x14ac:dyDescent="0.2">
      <c r="E3337" s="26"/>
    </row>
    <row r="3338" spans="5:5" x14ac:dyDescent="0.2">
      <c r="E3338" s="26"/>
    </row>
    <row r="3339" spans="5:5" x14ac:dyDescent="0.2">
      <c r="E3339" s="26"/>
    </row>
    <row r="3340" spans="5:5" x14ac:dyDescent="0.2">
      <c r="E3340" s="26"/>
    </row>
    <row r="3341" spans="5:5" x14ac:dyDescent="0.2">
      <c r="E3341" s="26"/>
    </row>
    <row r="3342" spans="5:5" x14ac:dyDescent="0.2">
      <c r="E3342" s="26"/>
    </row>
    <row r="3343" spans="5:5" x14ac:dyDescent="0.2">
      <c r="E3343" s="26"/>
    </row>
    <row r="3344" spans="5:5" x14ac:dyDescent="0.2">
      <c r="E3344" s="26"/>
    </row>
    <row r="3345" spans="5:5" x14ac:dyDescent="0.2">
      <c r="E3345" s="2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364"/>
  <sheetViews>
    <sheetView topLeftCell="A299" workbookViewId="0">
      <selection activeCell="A347" sqref="A347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SUM(C3:C546)</f>
        <v>40252.030000000035</v>
      </c>
      <c r="D1" s="3">
        <f>SUM(D3:D546)</f>
        <v>2569.6899999999996</v>
      </c>
      <c r="F1" s="166">
        <f>SUM(F3:F1830)</f>
        <v>20242.199999999997</v>
      </c>
      <c r="G1" s="166">
        <f>SUM(G3:G1830)</f>
        <v>19924.210201499998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19133</v>
      </c>
      <c r="B3" s="11">
        <v>42430</v>
      </c>
      <c r="C3" s="12">
        <v>324.75</v>
      </c>
      <c r="D3" s="12">
        <v>24.75</v>
      </c>
      <c r="E3" s="15" t="s">
        <v>11</v>
      </c>
      <c r="F3" s="10"/>
      <c r="G3" s="10"/>
      <c r="H3" s="10"/>
      <c r="I3" s="10"/>
    </row>
    <row r="4" spans="1:10" x14ac:dyDescent="0.2">
      <c r="A4" s="10">
        <v>19134</v>
      </c>
      <c r="B4" s="11">
        <v>42430</v>
      </c>
      <c r="C4" s="12">
        <v>15.16</v>
      </c>
      <c r="D4" s="12">
        <v>1.1599999999999999</v>
      </c>
      <c r="E4" s="15" t="s">
        <v>21</v>
      </c>
      <c r="F4" s="10"/>
      <c r="G4" s="10"/>
      <c r="H4" s="10"/>
      <c r="I4" s="10"/>
    </row>
    <row r="5" spans="1:10" x14ac:dyDescent="0.2">
      <c r="A5" s="10">
        <v>19135</v>
      </c>
      <c r="B5" s="11">
        <v>42430</v>
      </c>
      <c r="C5" s="12">
        <v>65.5</v>
      </c>
      <c r="D5" s="12"/>
      <c r="E5" s="13" t="s">
        <v>279</v>
      </c>
      <c r="F5" s="10"/>
      <c r="G5" s="10"/>
      <c r="H5" s="10"/>
      <c r="I5" s="10"/>
    </row>
    <row r="6" spans="1:10" x14ac:dyDescent="0.2">
      <c r="A6" s="10">
        <v>19136</v>
      </c>
      <c r="B6" s="11">
        <v>42430</v>
      </c>
      <c r="C6" s="12">
        <v>20</v>
      </c>
      <c r="D6" s="12">
        <v>1.52</v>
      </c>
      <c r="E6" s="17"/>
      <c r="F6" s="12"/>
      <c r="G6" s="12"/>
      <c r="H6" s="12"/>
      <c r="I6" s="10"/>
    </row>
    <row r="7" spans="1:10" x14ac:dyDescent="0.2">
      <c r="A7" s="10">
        <v>19137</v>
      </c>
      <c r="B7" s="11">
        <v>42430</v>
      </c>
      <c r="C7" s="12">
        <v>23.82</v>
      </c>
      <c r="D7" s="12">
        <v>1.82</v>
      </c>
      <c r="E7" s="17"/>
      <c r="F7" s="12"/>
      <c r="G7" s="12"/>
      <c r="H7" s="12"/>
      <c r="I7" s="10"/>
    </row>
    <row r="8" spans="1:10" x14ac:dyDescent="0.2">
      <c r="A8" s="10">
        <v>19138</v>
      </c>
      <c r="B8" s="11">
        <v>42430</v>
      </c>
      <c r="C8" s="12">
        <v>65.5</v>
      </c>
      <c r="D8" s="12"/>
      <c r="E8" s="15" t="s">
        <v>441</v>
      </c>
      <c r="F8" s="10"/>
      <c r="G8" s="10"/>
      <c r="H8" s="10"/>
      <c r="I8" s="10"/>
    </row>
    <row r="9" spans="1:10" x14ac:dyDescent="0.2">
      <c r="A9" s="10">
        <v>19139</v>
      </c>
      <c r="B9" s="11">
        <v>42430</v>
      </c>
      <c r="C9" s="12">
        <v>55.42</v>
      </c>
      <c r="D9" s="12"/>
      <c r="E9" s="13" t="s">
        <v>279</v>
      </c>
      <c r="F9" s="12"/>
      <c r="G9" s="12"/>
      <c r="H9" s="12"/>
      <c r="I9" s="10"/>
    </row>
    <row r="10" spans="1:10" x14ac:dyDescent="0.2">
      <c r="A10" s="10">
        <v>19140</v>
      </c>
      <c r="B10" s="11">
        <v>42430</v>
      </c>
      <c r="C10" s="12">
        <v>92.19</v>
      </c>
      <c r="D10" s="12"/>
      <c r="E10" s="13" t="s">
        <v>441</v>
      </c>
      <c r="F10" s="12"/>
      <c r="G10" s="12"/>
      <c r="H10" s="12"/>
      <c r="I10" s="10"/>
    </row>
    <row r="11" spans="1:10" x14ac:dyDescent="0.2">
      <c r="A11" s="10">
        <v>19141</v>
      </c>
      <c r="B11" s="11">
        <v>42430</v>
      </c>
      <c r="C11" s="12">
        <v>9.74</v>
      </c>
      <c r="D11" s="12">
        <v>0.74</v>
      </c>
      <c r="E11" s="15" t="s">
        <v>11</v>
      </c>
      <c r="F11" s="10"/>
      <c r="G11" s="10"/>
      <c r="H11" s="10"/>
      <c r="I11" s="10"/>
    </row>
    <row r="12" spans="1:10" x14ac:dyDescent="0.2">
      <c r="A12" s="10">
        <v>19142</v>
      </c>
      <c r="B12" s="11">
        <v>42430</v>
      </c>
      <c r="C12" s="12">
        <v>151.55000000000001</v>
      </c>
      <c r="D12" s="12">
        <v>11.55</v>
      </c>
      <c r="E12" s="15" t="s">
        <v>23</v>
      </c>
      <c r="F12" s="10"/>
      <c r="G12" s="10"/>
      <c r="H12" s="10"/>
      <c r="I12" s="10"/>
    </row>
    <row r="13" spans="1:10" x14ac:dyDescent="0.2">
      <c r="A13" s="10">
        <v>19143</v>
      </c>
      <c r="B13" s="11">
        <v>42430</v>
      </c>
      <c r="C13" s="12">
        <v>0</v>
      </c>
      <c r="D13" s="12">
        <v>0</v>
      </c>
      <c r="E13" s="15" t="s">
        <v>591</v>
      </c>
      <c r="F13" s="10"/>
      <c r="G13" s="10"/>
      <c r="H13" s="10"/>
      <c r="I13" s="10"/>
    </row>
    <row r="14" spans="1:10" x14ac:dyDescent="0.2">
      <c r="A14" s="10">
        <v>19144</v>
      </c>
      <c r="B14" s="11">
        <v>42430</v>
      </c>
      <c r="C14" s="12">
        <v>33.56</v>
      </c>
      <c r="D14" s="12">
        <v>2.56</v>
      </c>
      <c r="E14" s="15" t="s">
        <v>11</v>
      </c>
      <c r="F14" s="10"/>
      <c r="G14" s="10"/>
      <c r="H14" s="10"/>
      <c r="I14" s="10"/>
    </row>
    <row r="15" spans="1:10" x14ac:dyDescent="0.2">
      <c r="A15" s="10">
        <v>19145</v>
      </c>
      <c r="B15" s="11">
        <v>42430</v>
      </c>
      <c r="C15" s="12">
        <v>404.31</v>
      </c>
      <c r="D15" s="12">
        <v>30.81</v>
      </c>
      <c r="E15" s="15" t="s">
        <v>11</v>
      </c>
      <c r="F15" s="10"/>
      <c r="G15" s="10"/>
      <c r="H15" s="10"/>
      <c r="I15" s="10"/>
    </row>
    <row r="16" spans="1:10" x14ac:dyDescent="0.2">
      <c r="A16" s="10">
        <v>19146</v>
      </c>
      <c r="B16" s="11">
        <v>42430</v>
      </c>
      <c r="C16" s="12">
        <v>21.000000000000007</v>
      </c>
      <c r="D16" s="12">
        <v>1.6</v>
      </c>
      <c r="E16" s="17"/>
      <c r="F16" s="12"/>
      <c r="G16" s="12"/>
      <c r="H16" s="12"/>
      <c r="I16" s="10"/>
    </row>
    <row r="17" spans="1:9" x14ac:dyDescent="0.2">
      <c r="A17" s="10">
        <v>19147</v>
      </c>
      <c r="B17" s="11">
        <v>42430</v>
      </c>
      <c r="C17" s="12">
        <v>361.37</v>
      </c>
      <c r="D17" s="12">
        <v>27.54</v>
      </c>
      <c r="E17" s="15" t="s">
        <v>592</v>
      </c>
      <c r="H17" s="10"/>
      <c r="I17" s="10"/>
    </row>
    <row r="18" spans="1:9" x14ac:dyDescent="0.2">
      <c r="A18" s="10">
        <v>19148</v>
      </c>
      <c r="B18" s="11">
        <v>42430</v>
      </c>
      <c r="C18" s="12">
        <v>47.63</v>
      </c>
      <c r="D18" s="12">
        <v>3.63</v>
      </c>
      <c r="E18" s="15" t="s">
        <v>11</v>
      </c>
      <c r="F18" s="20">
        <f>+C3+C11+C12+C14+C15+221.37+C18</f>
        <v>1192.9100000000003</v>
      </c>
      <c r="G18" s="20">
        <v>1182.9100000000001</v>
      </c>
      <c r="H18" s="10"/>
      <c r="I18" s="10"/>
    </row>
    <row r="19" spans="1:9" x14ac:dyDescent="0.2">
      <c r="A19" s="10">
        <v>19149</v>
      </c>
      <c r="B19" s="11">
        <v>42431</v>
      </c>
      <c r="C19" s="12">
        <v>34.64</v>
      </c>
      <c r="D19" s="12">
        <v>2.64</v>
      </c>
      <c r="E19" s="15" t="s">
        <v>21</v>
      </c>
      <c r="F19" s="21"/>
      <c r="G19" s="22"/>
      <c r="H19" s="10"/>
      <c r="I19" s="10"/>
    </row>
    <row r="20" spans="1:9" x14ac:dyDescent="0.2">
      <c r="A20" s="10">
        <v>19150</v>
      </c>
      <c r="B20" s="11">
        <v>42431</v>
      </c>
      <c r="C20" s="12">
        <v>74.69</v>
      </c>
      <c r="D20" s="12">
        <v>5.69</v>
      </c>
      <c r="E20" s="13"/>
      <c r="F20" s="18"/>
      <c r="G20" s="19"/>
      <c r="H20" s="12"/>
      <c r="I20" s="10"/>
    </row>
    <row r="21" spans="1:9" x14ac:dyDescent="0.2">
      <c r="A21" s="10">
        <v>19151</v>
      </c>
      <c r="B21" s="11">
        <v>42431</v>
      </c>
      <c r="C21" s="12">
        <v>54</v>
      </c>
      <c r="D21" s="12">
        <v>4.12</v>
      </c>
      <c r="E21" s="15" t="s">
        <v>11</v>
      </c>
      <c r="H21" s="10"/>
      <c r="I21" s="10"/>
    </row>
    <row r="22" spans="1:9" x14ac:dyDescent="0.2">
      <c r="A22" s="10">
        <v>19152</v>
      </c>
      <c r="B22" s="11">
        <v>42431</v>
      </c>
      <c r="C22" s="12">
        <v>272</v>
      </c>
      <c r="D22" s="12"/>
      <c r="E22" s="15" t="s">
        <v>519</v>
      </c>
      <c r="F22" s="21"/>
      <c r="G22" s="22"/>
      <c r="H22" s="10"/>
      <c r="I22" s="10"/>
    </row>
    <row r="23" spans="1:9" x14ac:dyDescent="0.2">
      <c r="A23" s="10">
        <v>19153</v>
      </c>
      <c r="B23" s="11">
        <v>42431</v>
      </c>
      <c r="C23" s="12">
        <v>40</v>
      </c>
      <c r="D23" s="12">
        <v>3.05</v>
      </c>
      <c r="E23" s="17"/>
      <c r="H23" s="12"/>
      <c r="I23" s="10"/>
    </row>
    <row r="24" spans="1:9" x14ac:dyDescent="0.2">
      <c r="A24" s="10">
        <v>19154</v>
      </c>
      <c r="B24" s="11">
        <v>42431</v>
      </c>
      <c r="C24" s="12">
        <v>164</v>
      </c>
      <c r="D24" s="12">
        <v>12.5</v>
      </c>
      <c r="E24" s="15" t="s">
        <v>11</v>
      </c>
      <c r="H24" s="10"/>
      <c r="I24" s="10"/>
    </row>
    <row r="25" spans="1:9" x14ac:dyDescent="0.2">
      <c r="A25" s="10">
        <v>19155</v>
      </c>
      <c r="B25" s="11">
        <v>42431</v>
      </c>
      <c r="C25" s="12">
        <v>237.07</v>
      </c>
      <c r="D25" s="12">
        <v>18.07</v>
      </c>
      <c r="E25" s="15" t="s">
        <v>593</v>
      </c>
      <c r="H25" s="10"/>
      <c r="I25" s="10"/>
    </row>
    <row r="26" spans="1:9" x14ac:dyDescent="0.2">
      <c r="A26" s="10">
        <v>19156</v>
      </c>
      <c r="B26" s="11">
        <v>42431</v>
      </c>
      <c r="C26" s="12">
        <v>173.2</v>
      </c>
      <c r="D26" s="12">
        <v>13.2</v>
      </c>
      <c r="E26" s="15" t="s">
        <v>11</v>
      </c>
      <c r="F26" s="21"/>
      <c r="G26" s="22"/>
      <c r="H26" s="10"/>
      <c r="I26" s="10"/>
    </row>
    <row r="27" spans="1:9" x14ac:dyDescent="0.2">
      <c r="A27" s="10">
        <v>19157</v>
      </c>
      <c r="B27" s="11">
        <v>42431</v>
      </c>
      <c r="C27" s="12">
        <v>152.63</v>
      </c>
      <c r="D27" s="12">
        <v>11.63</v>
      </c>
      <c r="E27" s="15" t="s">
        <v>11</v>
      </c>
      <c r="F27" s="21"/>
      <c r="G27" s="22"/>
      <c r="H27" s="10"/>
      <c r="I27" s="10"/>
    </row>
    <row r="28" spans="1:9" x14ac:dyDescent="0.2">
      <c r="A28" s="10">
        <v>19158</v>
      </c>
      <c r="B28" s="11">
        <v>42431</v>
      </c>
      <c r="C28" s="12">
        <v>165</v>
      </c>
      <c r="D28" s="12">
        <v>12.57</v>
      </c>
      <c r="E28" s="17"/>
      <c r="H28" s="12"/>
      <c r="I28" s="10"/>
    </row>
    <row r="29" spans="1:9" x14ac:dyDescent="0.2">
      <c r="A29" s="10">
        <v>19159</v>
      </c>
      <c r="B29" s="11">
        <v>42431</v>
      </c>
      <c r="C29" s="12">
        <v>96</v>
      </c>
      <c r="D29" s="12">
        <v>7.32</v>
      </c>
      <c r="E29" s="15" t="s">
        <v>11</v>
      </c>
      <c r="F29" s="21"/>
      <c r="G29" s="22"/>
      <c r="H29" s="10"/>
      <c r="I29" s="10"/>
    </row>
    <row r="30" spans="1:9" x14ac:dyDescent="0.2">
      <c r="A30" s="10">
        <v>19160</v>
      </c>
      <c r="B30" s="11">
        <v>42431</v>
      </c>
      <c r="C30" s="12">
        <v>18</v>
      </c>
      <c r="D30" s="12">
        <v>1.37</v>
      </c>
      <c r="E30" s="13"/>
      <c r="F30" s="18"/>
      <c r="G30" s="19"/>
      <c r="H30" s="12"/>
      <c r="I30" s="10"/>
    </row>
    <row r="31" spans="1:9" x14ac:dyDescent="0.2">
      <c r="A31" s="10">
        <v>19161</v>
      </c>
      <c r="B31" s="11">
        <v>42431</v>
      </c>
      <c r="C31" s="12">
        <v>277.66000000000003</v>
      </c>
      <c r="D31" s="12">
        <v>21.16</v>
      </c>
      <c r="E31" s="13"/>
      <c r="F31" s="18"/>
      <c r="G31" s="19"/>
      <c r="H31" s="12"/>
      <c r="I31" s="10"/>
    </row>
    <row r="32" spans="1:9" x14ac:dyDescent="0.2">
      <c r="A32" s="10">
        <v>19162</v>
      </c>
      <c r="B32" s="11">
        <v>42431</v>
      </c>
      <c r="C32" s="12">
        <v>110</v>
      </c>
      <c r="D32" s="12"/>
      <c r="E32" s="13"/>
      <c r="F32" s="18"/>
      <c r="G32" s="19"/>
      <c r="H32" s="12"/>
      <c r="I32" s="10"/>
    </row>
    <row r="33" spans="1:9" x14ac:dyDescent="0.2">
      <c r="A33" s="10">
        <v>19163</v>
      </c>
      <c r="B33" s="11">
        <v>42431</v>
      </c>
      <c r="C33" s="12">
        <v>3.79</v>
      </c>
      <c r="D33" s="12">
        <v>0.28999999999999998</v>
      </c>
      <c r="E33" s="13"/>
      <c r="F33" s="18"/>
      <c r="G33" s="19"/>
      <c r="H33" s="12"/>
      <c r="I33" s="10"/>
    </row>
    <row r="34" spans="1:9" x14ac:dyDescent="0.2">
      <c r="A34" s="10">
        <v>19164</v>
      </c>
      <c r="B34" s="11">
        <v>42431</v>
      </c>
      <c r="C34" s="12">
        <v>-75.739999999999995</v>
      </c>
      <c r="D34" s="12">
        <v>-5.77</v>
      </c>
      <c r="E34" s="15" t="s">
        <v>11</v>
      </c>
      <c r="F34" s="20">
        <f>+C21+C22+C27+C29+C34+C24+C26</f>
        <v>836.08999999999992</v>
      </c>
      <c r="G34" s="20">
        <v>827.22</v>
      </c>
      <c r="H34" s="10"/>
      <c r="I34" s="10"/>
    </row>
    <row r="35" spans="1:9" x14ac:dyDescent="0.2">
      <c r="A35" s="10">
        <v>19165</v>
      </c>
      <c r="B35" s="11">
        <v>42432</v>
      </c>
      <c r="C35" s="12">
        <v>54.07</v>
      </c>
      <c r="D35" s="12">
        <v>4.12</v>
      </c>
      <c r="E35" s="17"/>
      <c r="F35" s="18"/>
      <c r="G35" s="19"/>
      <c r="H35" s="12"/>
      <c r="I35" s="10"/>
    </row>
    <row r="36" spans="1:9" x14ac:dyDescent="0.2">
      <c r="A36" s="10">
        <v>19166</v>
      </c>
      <c r="B36" s="11">
        <v>42432</v>
      </c>
      <c r="C36" s="12">
        <v>172.12</v>
      </c>
      <c r="D36" s="12">
        <v>13.12</v>
      </c>
      <c r="E36" s="15" t="s">
        <v>11</v>
      </c>
      <c r="H36" s="10"/>
      <c r="I36" s="10"/>
    </row>
    <row r="37" spans="1:9" x14ac:dyDescent="0.2">
      <c r="A37" s="10">
        <v>19167</v>
      </c>
      <c r="B37" s="11">
        <v>42432</v>
      </c>
      <c r="C37" s="12">
        <v>15</v>
      </c>
      <c r="D37" s="12">
        <v>1.1399999999999999</v>
      </c>
      <c r="E37" s="17"/>
      <c r="F37" s="18"/>
      <c r="G37" s="19"/>
      <c r="H37" s="12"/>
      <c r="I37" s="10"/>
    </row>
    <row r="38" spans="1:9" x14ac:dyDescent="0.2">
      <c r="A38" s="10">
        <v>19168</v>
      </c>
      <c r="B38" s="11">
        <v>42432</v>
      </c>
      <c r="C38" s="12">
        <v>24.9</v>
      </c>
      <c r="D38" s="12">
        <v>1.9</v>
      </c>
      <c r="E38" s="15" t="s">
        <v>11</v>
      </c>
      <c r="F38" s="21"/>
      <c r="G38" s="22"/>
      <c r="H38" s="10"/>
      <c r="I38" s="10"/>
    </row>
    <row r="39" spans="1:9" x14ac:dyDescent="0.2">
      <c r="A39" s="10">
        <v>19169</v>
      </c>
      <c r="B39" s="11">
        <v>42432</v>
      </c>
      <c r="C39" s="12">
        <v>353.98</v>
      </c>
      <c r="D39" s="12">
        <v>26.98</v>
      </c>
      <c r="E39" s="17"/>
      <c r="I39" s="10"/>
    </row>
    <row r="40" spans="1:9" x14ac:dyDescent="0.2">
      <c r="A40" s="10">
        <v>19170</v>
      </c>
      <c r="B40" s="11">
        <v>42432</v>
      </c>
      <c r="C40" s="12">
        <v>17.27</v>
      </c>
      <c r="D40" s="12">
        <v>1.32</v>
      </c>
      <c r="E40" s="17"/>
      <c r="F40" s="18"/>
      <c r="G40" s="19"/>
      <c r="H40" s="12"/>
      <c r="I40" s="10"/>
    </row>
    <row r="41" spans="1:9" x14ac:dyDescent="0.2">
      <c r="A41" s="10">
        <v>19171</v>
      </c>
      <c r="B41" s="11">
        <v>42432</v>
      </c>
      <c r="C41" s="12">
        <v>41.080000000000005</v>
      </c>
      <c r="D41" s="12">
        <v>3.13</v>
      </c>
      <c r="E41" s="17"/>
      <c r="I41" s="10"/>
    </row>
    <row r="42" spans="1:9" x14ac:dyDescent="0.2">
      <c r="A42" s="10">
        <v>19172</v>
      </c>
      <c r="B42" s="11">
        <v>42432</v>
      </c>
      <c r="C42" s="12">
        <v>308.02999999999997</v>
      </c>
      <c r="D42" s="12">
        <v>23.48</v>
      </c>
      <c r="E42" s="15" t="s">
        <v>11</v>
      </c>
      <c r="I42" s="10"/>
    </row>
    <row r="43" spans="1:9" x14ac:dyDescent="0.2">
      <c r="A43" s="10">
        <v>19173</v>
      </c>
      <c r="B43" s="11">
        <v>42432</v>
      </c>
      <c r="C43" s="12">
        <v>505.53</v>
      </c>
      <c r="D43" s="12">
        <v>38.53</v>
      </c>
      <c r="E43" s="17"/>
      <c r="F43" s="20"/>
      <c r="G43" s="20"/>
      <c r="H43" s="12"/>
      <c r="I43" s="10"/>
    </row>
    <row r="44" spans="1:9" x14ac:dyDescent="0.2">
      <c r="A44" s="10">
        <v>19174</v>
      </c>
      <c r="B44" s="11">
        <v>42432</v>
      </c>
      <c r="C44" s="12">
        <v>151.5</v>
      </c>
      <c r="D44" s="12">
        <v>11.55</v>
      </c>
      <c r="E44" s="15" t="s">
        <v>7</v>
      </c>
      <c r="F44" s="206"/>
      <c r="G44" s="206"/>
      <c r="H44" s="10"/>
      <c r="I44" s="10"/>
    </row>
    <row r="45" spans="1:9" x14ac:dyDescent="0.2">
      <c r="A45" s="10">
        <v>19175</v>
      </c>
      <c r="B45" s="11">
        <v>42432</v>
      </c>
      <c r="C45" s="12">
        <v>32.479999999999997</v>
      </c>
      <c r="D45" s="12">
        <v>2.48</v>
      </c>
      <c r="E45" s="13"/>
      <c r="F45" s="20"/>
      <c r="G45" s="20"/>
      <c r="H45" s="12"/>
      <c r="I45" s="10"/>
    </row>
    <row r="46" spans="1:9" x14ac:dyDescent="0.2">
      <c r="A46" s="10">
        <v>19176</v>
      </c>
      <c r="B46" s="11">
        <v>42432</v>
      </c>
      <c r="C46" s="12">
        <v>70.36</v>
      </c>
      <c r="D46" s="12">
        <v>5.36</v>
      </c>
      <c r="E46" s="15" t="s">
        <v>11</v>
      </c>
      <c r="F46" s="206"/>
      <c r="G46" s="206"/>
      <c r="H46" s="10"/>
      <c r="I46" s="10"/>
    </row>
    <row r="47" spans="1:9" x14ac:dyDescent="0.2">
      <c r="A47" s="10">
        <v>19177</v>
      </c>
      <c r="B47" s="11">
        <v>42432</v>
      </c>
      <c r="C47" s="12">
        <v>12.99</v>
      </c>
      <c r="D47" s="12">
        <v>0.99</v>
      </c>
      <c r="E47" s="15" t="s">
        <v>11</v>
      </c>
      <c r="F47" s="206"/>
      <c r="G47" s="206"/>
      <c r="H47" s="10"/>
      <c r="I47" s="10"/>
    </row>
    <row r="48" spans="1:9" x14ac:dyDescent="0.2">
      <c r="A48" s="10">
        <v>19178</v>
      </c>
      <c r="B48" s="11">
        <v>42432</v>
      </c>
      <c r="C48" s="12">
        <v>128.82</v>
      </c>
      <c r="D48" s="12">
        <v>9.82</v>
      </c>
      <c r="E48" s="17"/>
      <c r="F48" s="20"/>
      <c r="G48" s="20"/>
      <c r="H48" s="12"/>
      <c r="I48" s="10"/>
    </row>
    <row r="49" spans="1:9" x14ac:dyDescent="0.2">
      <c r="A49" s="10">
        <v>19179</v>
      </c>
      <c r="B49" s="11">
        <v>42432</v>
      </c>
      <c r="C49" s="12">
        <v>20</v>
      </c>
      <c r="D49" s="12">
        <v>1.52</v>
      </c>
      <c r="E49" s="17"/>
      <c r="F49" s="20"/>
      <c r="G49" s="20"/>
      <c r="H49" s="12"/>
      <c r="I49" s="10"/>
    </row>
    <row r="50" spans="1:9" x14ac:dyDescent="0.2">
      <c r="A50" s="10">
        <v>19180</v>
      </c>
      <c r="B50" s="11">
        <v>42432</v>
      </c>
      <c r="C50" s="12">
        <v>609</v>
      </c>
      <c r="D50" s="12">
        <v>46.41</v>
      </c>
      <c r="E50" s="17"/>
      <c r="F50" s="20">
        <f>192.28+C36+C38+C42+C44+C46+C47+100.8+237.07</f>
        <v>1270.05</v>
      </c>
      <c r="G50" s="20">
        <f>1018.78+230.55</f>
        <v>1249.33</v>
      </c>
      <c r="H50" s="161"/>
      <c r="I50" s="10"/>
    </row>
    <row r="51" spans="1:9" x14ac:dyDescent="0.2">
      <c r="A51" s="10">
        <v>19181</v>
      </c>
      <c r="B51" s="11">
        <v>42433</v>
      </c>
      <c r="C51" s="12">
        <v>101.56</v>
      </c>
      <c r="D51" s="12"/>
      <c r="E51" s="15" t="s">
        <v>441</v>
      </c>
      <c r="F51" s="207"/>
      <c r="G51" s="207"/>
      <c r="H51" s="10"/>
      <c r="I51" s="10"/>
    </row>
    <row r="52" spans="1:9" x14ac:dyDescent="0.2">
      <c r="A52" s="10">
        <v>19182</v>
      </c>
      <c r="B52" s="11">
        <v>42433</v>
      </c>
      <c r="C52" s="12">
        <v>87.68</v>
      </c>
      <c r="D52" s="12">
        <v>6.68</v>
      </c>
      <c r="E52" s="13"/>
      <c r="F52" s="208"/>
      <c r="G52" s="208"/>
      <c r="H52" s="12"/>
      <c r="I52" s="10"/>
    </row>
    <row r="53" spans="1:9" x14ac:dyDescent="0.2">
      <c r="A53" s="10">
        <v>19183</v>
      </c>
      <c r="B53" s="11">
        <v>42433</v>
      </c>
      <c r="C53" s="12">
        <v>292.82</v>
      </c>
      <c r="D53" s="12">
        <v>22.32</v>
      </c>
      <c r="E53" s="15" t="s">
        <v>21</v>
      </c>
      <c r="H53" s="10"/>
      <c r="I53" s="10"/>
    </row>
    <row r="54" spans="1:9" x14ac:dyDescent="0.2">
      <c r="A54" s="10">
        <v>19184</v>
      </c>
      <c r="B54" s="11">
        <v>42433</v>
      </c>
      <c r="C54" s="12">
        <v>82.27</v>
      </c>
      <c r="D54" s="12">
        <v>6.27</v>
      </c>
      <c r="E54" s="15" t="s">
        <v>11</v>
      </c>
      <c r="H54" s="10"/>
      <c r="I54" s="10"/>
    </row>
    <row r="55" spans="1:9" x14ac:dyDescent="0.2">
      <c r="A55" s="10">
        <v>19185</v>
      </c>
      <c r="B55" s="11">
        <v>42433</v>
      </c>
      <c r="C55" s="12">
        <v>43.3</v>
      </c>
      <c r="D55" s="12">
        <v>3.3</v>
      </c>
      <c r="E55" s="15" t="s">
        <v>21</v>
      </c>
      <c r="F55" s="21"/>
      <c r="G55" s="22"/>
      <c r="H55" s="10"/>
      <c r="I55" s="10"/>
    </row>
    <row r="56" spans="1:9" x14ac:dyDescent="0.2">
      <c r="A56" s="10">
        <v>19186</v>
      </c>
      <c r="B56" s="11">
        <v>42433</v>
      </c>
      <c r="C56" s="12">
        <v>15.16</v>
      </c>
      <c r="D56" s="12">
        <v>1.1599999999999999</v>
      </c>
      <c r="E56" s="15" t="s">
        <v>11</v>
      </c>
      <c r="F56" s="21"/>
      <c r="G56" s="22"/>
      <c r="H56" s="10"/>
      <c r="I56" s="10"/>
    </row>
    <row r="57" spans="1:9" x14ac:dyDescent="0.2">
      <c r="A57" s="10">
        <v>19187</v>
      </c>
      <c r="B57" s="11">
        <v>42433</v>
      </c>
      <c r="C57" s="12">
        <v>10</v>
      </c>
      <c r="D57" s="12">
        <v>0.76</v>
      </c>
      <c r="E57" s="13"/>
      <c r="F57" s="18"/>
      <c r="G57" s="19"/>
      <c r="H57" s="12"/>
      <c r="I57" s="10"/>
    </row>
    <row r="58" spans="1:9" x14ac:dyDescent="0.2">
      <c r="A58" s="10">
        <v>19188</v>
      </c>
      <c r="B58" s="11">
        <v>42433</v>
      </c>
      <c r="C58" s="12">
        <v>51.879999999999995</v>
      </c>
      <c r="D58" s="12"/>
      <c r="E58" s="15" t="s">
        <v>11</v>
      </c>
      <c r="F58" s="21"/>
      <c r="G58" s="22"/>
      <c r="H58" s="10"/>
      <c r="I58" s="10"/>
    </row>
    <row r="59" spans="1:9" x14ac:dyDescent="0.2">
      <c r="A59" s="10">
        <v>19189</v>
      </c>
      <c r="B59" s="11">
        <v>42433</v>
      </c>
      <c r="C59" s="12">
        <v>13</v>
      </c>
      <c r="D59" s="12"/>
      <c r="E59" s="15" t="s">
        <v>11</v>
      </c>
      <c r="H59" s="10"/>
      <c r="I59" s="10"/>
    </row>
    <row r="60" spans="1:9" x14ac:dyDescent="0.2">
      <c r="A60" s="10">
        <v>19190</v>
      </c>
      <c r="B60" s="11">
        <v>42433</v>
      </c>
      <c r="C60" s="12">
        <v>415</v>
      </c>
      <c r="D60" s="12">
        <v>31.63</v>
      </c>
      <c r="E60" s="17"/>
      <c r="F60" s="18"/>
      <c r="G60" s="19"/>
      <c r="H60" s="12"/>
      <c r="I60" s="10"/>
    </row>
    <row r="61" spans="1:9" x14ac:dyDescent="0.2">
      <c r="A61" s="10">
        <v>19191</v>
      </c>
      <c r="B61" s="11">
        <v>42433</v>
      </c>
      <c r="C61" s="12">
        <v>21.599999999999998</v>
      </c>
      <c r="D61" s="12">
        <v>1.65</v>
      </c>
      <c r="E61" s="15" t="s">
        <v>11</v>
      </c>
      <c r="F61" s="21"/>
      <c r="G61" s="22"/>
      <c r="H61" s="10"/>
      <c r="I61" s="10"/>
    </row>
    <row r="62" spans="1:9" x14ac:dyDescent="0.2">
      <c r="A62" s="10">
        <v>19192</v>
      </c>
      <c r="B62" s="11">
        <v>42433</v>
      </c>
      <c r="C62" s="12">
        <v>40</v>
      </c>
      <c r="D62" s="12">
        <v>3.05</v>
      </c>
      <c r="E62" s="15" t="s">
        <v>11</v>
      </c>
      <c r="F62" s="21"/>
      <c r="G62" s="22"/>
      <c r="H62" s="10"/>
      <c r="I62" s="10"/>
    </row>
    <row r="63" spans="1:9" x14ac:dyDescent="0.2">
      <c r="A63" s="10">
        <v>19193</v>
      </c>
      <c r="B63" s="11">
        <v>42433</v>
      </c>
      <c r="C63" s="12">
        <v>75.78</v>
      </c>
      <c r="D63" s="12">
        <v>5.78</v>
      </c>
      <c r="E63" s="15" t="s">
        <v>11</v>
      </c>
      <c r="F63" s="21"/>
      <c r="G63" s="22"/>
      <c r="H63" s="10"/>
      <c r="I63" s="10"/>
    </row>
    <row r="64" spans="1:9" x14ac:dyDescent="0.2">
      <c r="A64" s="10">
        <v>19194</v>
      </c>
      <c r="B64" s="11">
        <v>42433</v>
      </c>
      <c r="C64" s="12">
        <v>16.18</v>
      </c>
      <c r="D64" s="12">
        <v>1.23</v>
      </c>
      <c r="E64" s="15" t="s">
        <v>11</v>
      </c>
      <c r="F64" s="21"/>
      <c r="G64" s="22"/>
      <c r="H64" s="10"/>
      <c r="I64" s="10"/>
    </row>
    <row r="65" spans="1:9" x14ac:dyDescent="0.2">
      <c r="A65" s="10">
        <v>19195</v>
      </c>
      <c r="B65" s="11">
        <v>42433</v>
      </c>
      <c r="C65" s="12">
        <v>37.89</v>
      </c>
      <c r="D65" s="12">
        <v>2.89</v>
      </c>
      <c r="E65" s="17"/>
      <c r="H65" s="12"/>
      <c r="I65" s="10"/>
    </row>
    <row r="66" spans="1:9" x14ac:dyDescent="0.2">
      <c r="A66" s="10">
        <v>19196</v>
      </c>
      <c r="B66" s="11">
        <v>42433</v>
      </c>
      <c r="C66" s="12">
        <v>10.780000000000001</v>
      </c>
      <c r="D66" s="12">
        <v>0.82</v>
      </c>
      <c r="E66" s="15" t="s">
        <v>13</v>
      </c>
      <c r="H66" s="10"/>
      <c r="I66" s="10"/>
    </row>
    <row r="67" spans="1:9" x14ac:dyDescent="0.2">
      <c r="A67" s="10">
        <v>19197</v>
      </c>
      <c r="B67" s="11">
        <v>42433</v>
      </c>
      <c r="C67" s="12">
        <v>190</v>
      </c>
      <c r="D67" s="12">
        <v>14.48</v>
      </c>
      <c r="E67" s="17"/>
      <c r="H67" s="12"/>
      <c r="I67" s="10"/>
    </row>
    <row r="68" spans="1:9" x14ac:dyDescent="0.2">
      <c r="A68" s="10">
        <v>19198</v>
      </c>
      <c r="B68" s="11">
        <v>42433</v>
      </c>
      <c r="C68" s="12">
        <v>100</v>
      </c>
      <c r="D68" s="12"/>
      <c r="E68" s="15" t="s">
        <v>8</v>
      </c>
      <c r="F68" s="21"/>
      <c r="G68" s="22"/>
      <c r="H68" s="10"/>
      <c r="I68" s="10"/>
    </row>
    <row r="69" spans="1:9" x14ac:dyDescent="0.2">
      <c r="A69" s="10">
        <v>19199</v>
      </c>
      <c r="B69" s="11">
        <v>42433</v>
      </c>
      <c r="C69" s="12">
        <v>250</v>
      </c>
      <c r="D69" s="12">
        <v>19.05</v>
      </c>
      <c r="E69" s="17"/>
      <c r="H69" s="12"/>
      <c r="I69" s="10"/>
    </row>
    <row r="70" spans="1:9" x14ac:dyDescent="0.2">
      <c r="A70" s="10">
        <v>19200</v>
      </c>
      <c r="B70" s="11">
        <v>42433</v>
      </c>
      <c r="C70" s="12">
        <v>9.8000000000000007</v>
      </c>
      <c r="D70" s="12"/>
      <c r="E70" s="13" t="s">
        <v>8</v>
      </c>
      <c r="F70" s="20">
        <f>+C54+C56+C58+C59+C61+C62+C63+C64+273.58+C66+60</f>
        <v>660.23</v>
      </c>
      <c r="G70" s="20">
        <v>646.36</v>
      </c>
      <c r="H70" s="12"/>
      <c r="I70" s="10"/>
    </row>
    <row r="71" spans="1:9" x14ac:dyDescent="0.2">
      <c r="A71" s="10">
        <v>19201</v>
      </c>
      <c r="B71" s="11">
        <v>42434</v>
      </c>
      <c r="C71" s="12">
        <v>21.6</v>
      </c>
      <c r="D71" s="12">
        <v>1.65</v>
      </c>
      <c r="E71" s="15" t="s">
        <v>11</v>
      </c>
      <c r="H71" s="10"/>
      <c r="I71" s="10"/>
    </row>
    <row r="72" spans="1:9" x14ac:dyDescent="0.2">
      <c r="A72" s="10">
        <v>19202</v>
      </c>
      <c r="B72" s="11">
        <v>42434</v>
      </c>
      <c r="C72" s="12">
        <v>24.84</v>
      </c>
      <c r="D72" s="12">
        <v>1.89</v>
      </c>
      <c r="E72" s="17"/>
      <c r="F72" s="18"/>
      <c r="G72" s="19"/>
      <c r="H72" s="12"/>
      <c r="I72" s="10"/>
    </row>
    <row r="73" spans="1:9" x14ac:dyDescent="0.2">
      <c r="A73" s="10">
        <v>19203</v>
      </c>
      <c r="B73" s="11">
        <v>42434</v>
      </c>
      <c r="C73" s="12">
        <v>-107.17</v>
      </c>
      <c r="D73" s="12">
        <v>-8.17</v>
      </c>
      <c r="E73" s="17"/>
      <c r="F73" s="18"/>
      <c r="G73" s="19"/>
      <c r="H73" s="12"/>
      <c r="I73" s="10"/>
    </row>
    <row r="74" spans="1:9" x14ac:dyDescent="0.2">
      <c r="A74" s="10">
        <v>19204</v>
      </c>
      <c r="B74" s="11">
        <v>42434</v>
      </c>
      <c r="C74" s="12">
        <v>54.13</v>
      </c>
      <c r="D74" s="12">
        <v>4.13</v>
      </c>
      <c r="E74" s="17"/>
      <c r="F74" s="18"/>
      <c r="G74" s="19"/>
      <c r="H74" s="12"/>
      <c r="I74" s="10"/>
    </row>
    <row r="75" spans="1:9" x14ac:dyDescent="0.2">
      <c r="A75" s="10">
        <v>19205</v>
      </c>
      <c r="B75" s="11">
        <v>42434</v>
      </c>
      <c r="C75" s="12">
        <v>165.08</v>
      </c>
      <c r="D75" s="12">
        <v>12.58</v>
      </c>
      <c r="E75" s="15" t="s">
        <v>7</v>
      </c>
      <c r="F75" s="21"/>
      <c r="G75" s="22"/>
      <c r="H75" s="10"/>
      <c r="I75" s="10"/>
    </row>
    <row r="76" spans="1:9" x14ac:dyDescent="0.2">
      <c r="A76" s="10">
        <v>19206</v>
      </c>
      <c r="B76" s="11">
        <v>42434</v>
      </c>
      <c r="C76" s="12">
        <v>35.67</v>
      </c>
      <c r="D76" s="12">
        <v>2.72</v>
      </c>
      <c r="E76" s="15" t="s">
        <v>11</v>
      </c>
      <c r="F76" s="21"/>
      <c r="G76" s="22"/>
      <c r="H76" s="10"/>
      <c r="I76" s="10"/>
    </row>
    <row r="77" spans="1:9" x14ac:dyDescent="0.2">
      <c r="A77" s="10">
        <v>19207</v>
      </c>
      <c r="B77" s="11">
        <v>42434</v>
      </c>
      <c r="C77" s="12">
        <v>74.69</v>
      </c>
      <c r="D77" s="12">
        <v>5.69</v>
      </c>
      <c r="E77" s="15" t="s">
        <v>11</v>
      </c>
      <c r="F77" s="21"/>
      <c r="G77" s="22"/>
      <c r="H77" s="10"/>
      <c r="I77" s="10"/>
    </row>
    <row r="78" spans="1:9" x14ac:dyDescent="0.2">
      <c r="A78" s="10">
        <v>19208</v>
      </c>
      <c r="B78" s="11">
        <v>42434</v>
      </c>
      <c r="C78" s="12">
        <v>21.65</v>
      </c>
      <c r="D78" s="12">
        <v>1.65</v>
      </c>
      <c r="E78" s="15" t="s">
        <v>11</v>
      </c>
      <c r="H78" s="10"/>
      <c r="I78" s="10"/>
    </row>
    <row r="79" spans="1:9" x14ac:dyDescent="0.2">
      <c r="A79" s="10">
        <v>19209</v>
      </c>
      <c r="B79" s="11">
        <v>42434</v>
      </c>
      <c r="C79" s="12">
        <v>15.1</v>
      </c>
      <c r="D79" s="12">
        <v>1.1499999999999999</v>
      </c>
      <c r="E79" s="15" t="s">
        <v>11</v>
      </c>
      <c r="H79" s="10"/>
      <c r="I79" s="10"/>
    </row>
    <row r="80" spans="1:9" x14ac:dyDescent="0.2">
      <c r="A80" s="10">
        <v>19210</v>
      </c>
      <c r="B80" s="11">
        <v>42434</v>
      </c>
      <c r="C80" s="12">
        <v>114.75</v>
      </c>
      <c r="D80" s="12">
        <v>8.75</v>
      </c>
      <c r="E80" s="15" t="s">
        <v>11</v>
      </c>
      <c r="F80" s="20">
        <f>+C71+C75+C76+C77+C78+C79+C80+157.54</f>
        <v>606.08000000000004</v>
      </c>
      <c r="G80" s="20">
        <v>595.44000000000005</v>
      </c>
      <c r="H80" s="10"/>
      <c r="I80" s="10"/>
    </row>
    <row r="81" spans="1:9" x14ac:dyDescent="0.2">
      <c r="A81" s="10">
        <v>19211</v>
      </c>
      <c r="B81" s="11">
        <v>42435</v>
      </c>
      <c r="C81" s="12">
        <v>297.35000000000002</v>
      </c>
      <c r="D81" s="12"/>
      <c r="E81" s="15" t="s">
        <v>279</v>
      </c>
      <c r="H81" s="10"/>
      <c r="I81" s="10"/>
    </row>
    <row r="82" spans="1:9" x14ac:dyDescent="0.2">
      <c r="A82" s="10">
        <v>19212</v>
      </c>
      <c r="B82" s="11">
        <v>42435</v>
      </c>
      <c r="C82" s="12">
        <v>84.12</v>
      </c>
      <c r="D82" s="12"/>
      <c r="E82" s="15" t="s">
        <v>441</v>
      </c>
      <c r="H82" s="10"/>
      <c r="I82" s="10"/>
    </row>
    <row r="83" spans="1:9" x14ac:dyDescent="0.2">
      <c r="A83" s="10">
        <v>19213</v>
      </c>
      <c r="B83" s="11">
        <v>42435</v>
      </c>
      <c r="C83" s="12">
        <v>21</v>
      </c>
      <c r="D83" s="12"/>
      <c r="E83" s="17"/>
      <c r="F83" s="18"/>
      <c r="G83" s="19"/>
      <c r="H83" s="12"/>
      <c r="I83" s="10"/>
    </row>
    <row r="84" spans="1:9" x14ac:dyDescent="0.2">
      <c r="A84" s="10">
        <v>19214</v>
      </c>
      <c r="B84" s="11">
        <v>42435</v>
      </c>
      <c r="C84" s="12">
        <v>110.79</v>
      </c>
      <c r="D84" s="12"/>
      <c r="E84" s="15" t="s">
        <v>441</v>
      </c>
      <c r="F84" s="21"/>
      <c r="G84" s="22"/>
      <c r="H84" s="10"/>
      <c r="I84" s="10"/>
    </row>
    <row r="85" spans="1:9" x14ac:dyDescent="0.2">
      <c r="A85" s="10">
        <v>19215</v>
      </c>
      <c r="B85" s="11">
        <v>42435</v>
      </c>
      <c r="C85" s="12">
        <v>83.96</v>
      </c>
      <c r="D85" s="12"/>
      <c r="E85" s="15" t="s">
        <v>441</v>
      </c>
      <c r="F85" s="20">
        <v>0</v>
      </c>
      <c r="G85" s="20">
        <f>+F85*0.97831</f>
        <v>0</v>
      </c>
      <c r="H85" s="10"/>
      <c r="I85" s="10"/>
    </row>
    <row r="86" spans="1:9" x14ac:dyDescent="0.2">
      <c r="A86" s="10">
        <v>19216</v>
      </c>
      <c r="B86" s="11">
        <v>42436</v>
      </c>
      <c r="C86" s="12">
        <v>109.17</v>
      </c>
      <c r="D86" s="12">
        <v>8.17</v>
      </c>
      <c r="E86" s="15" t="s">
        <v>11</v>
      </c>
      <c r="H86" s="10"/>
      <c r="I86" s="10"/>
    </row>
    <row r="87" spans="1:9" x14ac:dyDescent="0.2">
      <c r="A87" s="10">
        <v>19217</v>
      </c>
      <c r="B87" s="11">
        <v>42436</v>
      </c>
      <c r="C87" s="12">
        <v>381.04</v>
      </c>
      <c r="D87" s="12">
        <v>29.04</v>
      </c>
      <c r="E87" s="15" t="s">
        <v>11</v>
      </c>
      <c r="F87" s="21"/>
      <c r="G87" s="22"/>
      <c r="H87" s="10"/>
      <c r="I87" s="10"/>
    </row>
    <row r="88" spans="1:9" x14ac:dyDescent="0.2">
      <c r="A88" s="10">
        <v>19218</v>
      </c>
      <c r="B88" s="11">
        <v>42436</v>
      </c>
      <c r="C88" s="12">
        <v>272.25</v>
      </c>
      <c r="D88" s="12">
        <v>20.75</v>
      </c>
      <c r="E88" s="15" t="s">
        <v>7</v>
      </c>
      <c r="H88" s="10"/>
      <c r="I88" s="10"/>
    </row>
    <row r="89" spans="1:9" x14ac:dyDescent="0.2">
      <c r="A89" s="10">
        <v>19219</v>
      </c>
      <c r="B89" s="11">
        <v>42436</v>
      </c>
      <c r="C89" s="12">
        <v>190.6</v>
      </c>
      <c r="D89" s="12"/>
      <c r="E89" s="15" t="s">
        <v>594</v>
      </c>
      <c r="F89" s="21"/>
      <c r="G89" s="22"/>
      <c r="H89" s="10"/>
      <c r="I89" s="10"/>
    </row>
    <row r="90" spans="1:9" x14ac:dyDescent="0.2">
      <c r="A90" s="10">
        <v>19220</v>
      </c>
      <c r="B90" s="11">
        <v>42436</v>
      </c>
      <c r="C90" s="12">
        <v>414.6</v>
      </c>
      <c r="D90" s="12">
        <v>31.6</v>
      </c>
      <c r="E90" s="15" t="s">
        <v>595</v>
      </c>
      <c r="H90" s="10"/>
      <c r="I90" s="10"/>
    </row>
    <row r="91" spans="1:9" x14ac:dyDescent="0.2">
      <c r="A91" s="10">
        <v>19221</v>
      </c>
      <c r="B91" s="11">
        <v>42436</v>
      </c>
      <c r="C91" s="12">
        <v>8</v>
      </c>
      <c r="D91" s="12"/>
      <c r="E91" s="15" t="s">
        <v>11</v>
      </c>
      <c r="F91" s="18"/>
      <c r="G91" s="22"/>
      <c r="H91" s="10"/>
      <c r="I91" s="10"/>
    </row>
    <row r="92" spans="1:9" x14ac:dyDescent="0.2">
      <c r="A92" s="10">
        <v>19222</v>
      </c>
      <c r="B92" s="11">
        <v>42436</v>
      </c>
      <c r="C92" s="12">
        <v>128.76</v>
      </c>
      <c r="D92" s="12">
        <v>9.81</v>
      </c>
      <c r="E92" s="17"/>
      <c r="H92" s="12"/>
      <c r="I92" s="10"/>
    </row>
    <row r="93" spans="1:9" x14ac:dyDescent="0.2">
      <c r="A93" s="10">
        <v>19223</v>
      </c>
      <c r="B93" s="11">
        <v>42436</v>
      </c>
      <c r="C93" s="12">
        <v>504.45</v>
      </c>
      <c r="D93" s="12">
        <v>38.450000000000003</v>
      </c>
      <c r="E93" s="15" t="s">
        <v>21</v>
      </c>
      <c r="H93" s="10"/>
      <c r="I93" s="10"/>
    </row>
    <row r="94" spans="1:9" x14ac:dyDescent="0.2">
      <c r="A94" s="10">
        <v>19224</v>
      </c>
      <c r="B94" s="11">
        <v>42436</v>
      </c>
      <c r="C94" s="12">
        <v>17.32</v>
      </c>
      <c r="D94" s="12">
        <v>1.32</v>
      </c>
      <c r="E94" s="17"/>
      <c r="H94" s="12"/>
      <c r="I94" s="10"/>
    </row>
    <row r="95" spans="1:9" x14ac:dyDescent="0.2">
      <c r="A95" s="10">
        <v>19225</v>
      </c>
      <c r="B95" s="11">
        <v>42436</v>
      </c>
      <c r="C95" s="12">
        <v>82.17</v>
      </c>
      <c r="D95" s="12"/>
      <c r="E95" s="15" t="s">
        <v>596</v>
      </c>
      <c r="F95" s="20">
        <f>300+C88+C91+C86+300+C93</f>
        <v>1493.87</v>
      </c>
      <c r="G95" s="20">
        <v>1479.3</v>
      </c>
      <c r="H95" s="10"/>
      <c r="I95" s="10"/>
    </row>
    <row r="96" spans="1:9" x14ac:dyDescent="0.2">
      <c r="A96" s="10">
        <v>19226</v>
      </c>
      <c r="B96" s="11">
        <v>42437</v>
      </c>
      <c r="C96" s="12">
        <v>96.9</v>
      </c>
      <c r="D96" s="12"/>
      <c r="E96" s="15" t="s">
        <v>596</v>
      </c>
      <c r="H96" s="10"/>
      <c r="I96" s="10"/>
    </row>
    <row r="97" spans="1:9" x14ac:dyDescent="0.2">
      <c r="A97" s="10">
        <v>19227</v>
      </c>
      <c r="B97" s="11">
        <v>42437</v>
      </c>
      <c r="C97" s="12">
        <v>23.82</v>
      </c>
      <c r="D97" s="12">
        <v>1.82</v>
      </c>
      <c r="E97" s="17"/>
      <c r="F97" s="18"/>
      <c r="G97" s="19"/>
      <c r="H97" s="12"/>
      <c r="I97" s="10"/>
    </row>
    <row r="98" spans="1:9" x14ac:dyDescent="0.2">
      <c r="A98" s="10">
        <v>19228</v>
      </c>
      <c r="B98" s="11">
        <v>42437</v>
      </c>
      <c r="C98" s="12">
        <v>64.95</v>
      </c>
      <c r="D98" s="12">
        <v>4.95</v>
      </c>
      <c r="E98" s="15"/>
      <c r="H98" s="10"/>
      <c r="I98" s="10"/>
    </row>
    <row r="99" spans="1:9" x14ac:dyDescent="0.2">
      <c r="A99" s="10">
        <v>19229</v>
      </c>
      <c r="B99" s="11">
        <v>42437</v>
      </c>
      <c r="C99" s="12">
        <v>226.78</v>
      </c>
      <c r="D99" s="12">
        <v>17.28</v>
      </c>
      <c r="E99" s="15" t="s">
        <v>11</v>
      </c>
      <c r="H99" s="10"/>
      <c r="I99" s="10"/>
    </row>
    <row r="100" spans="1:9" x14ac:dyDescent="0.2">
      <c r="A100" s="10">
        <v>19230</v>
      </c>
      <c r="B100" s="11">
        <v>42437</v>
      </c>
      <c r="C100" s="12">
        <v>234.36</v>
      </c>
      <c r="D100" s="12">
        <v>17.86</v>
      </c>
      <c r="E100" s="15" t="s">
        <v>7</v>
      </c>
      <c r="F100" s="21"/>
      <c r="G100" s="22"/>
      <c r="H100" s="10"/>
      <c r="I100" s="10"/>
    </row>
    <row r="101" spans="1:9" x14ac:dyDescent="0.2">
      <c r="A101" s="10">
        <v>19231</v>
      </c>
      <c r="B101" s="11">
        <v>42437</v>
      </c>
      <c r="C101" s="12"/>
      <c r="D101" s="12"/>
      <c r="E101" s="15" t="s">
        <v>597</v>
      </c>
      <c r="F101" s="21"/>
      <c r="G101" s="22"/>
      <c r="H101" s="10"/>
      <c r="I101" s="10"/>
    </row>
    <row r="102" spans="1:9" x14ac:dyDescent="0.2">
      <c r="A102" s="10">
        <v>19232</v>
      </c>
      <c r="B102" s="11">
        <v>42437</v>
      </c>
      <c r="C102" s="12">
        <v>173.2</v>
      </c>
      <c r="D102" s="12">
        <v>13.2</v>
      </c>
      <c r="E102" s="15" t="s">
        <v>13</v>
      </c>
      <c r="F102" s="21"/>
      <c r="G102" s="22"/>
      <c r="H102" s="10"/>
      <c r="I102" s="10"/>
    </row>
    <row r="103" spans="1:9" x14ac:dyDescent="0.2">
      <c r="A103" s="10">
        <v>19233</v>
      </c>
      <c r="B103" s="11">
        <v>42437</v>
      </c>
      <c r="C103" s="12">
        <v>92.01</v>
      </c>
      <c r="D103" s="12">
        <v>7.01</v>
      </c>
      <c r="E103" s="15" t="s">
        <v>11</v>
      </c>
      <c r="F103" s="21"/>
      <c r="G103" s="22"/>
      <c r="H103" s="10"/>
      <c r="I103" s="10"/>
    </row>
    <row r="104" spans="1:9" x14ac:dyDescent="0.2">
      <c r="A104" s="10">
        <v>19234</v>
      </c>
      <c r="B104" s="11">
        <v>42437</v>
      </c>
      <c r="C104" s="12">
        <v>137.69</v>
      </c>
      <c r="D104" s="12">
        <v>10.49</v>
      </c>
      <c r="E104" s="15" t="s">
        <v>598</v>
      </c>
      <c r="H104" s="10"/>
      <c r="I104" s="10"/>
    </row>
    <row r="105" spans="1:9" x14ac:dyDescent="0.2">
      <c r="A105" s="10">
        <v>19235</v>
      </c>
      <c r="B105" s="11">
        <v>42437</v>
      </c>
      <c r="C105" s="12">
        <v>16.18</v>
      </c>
      <c r="D105" s="12">
        <v>1.23</v>
      </c>
      <c r="E105" s="17"/>
      <c r="F105" s="20">
        <f>+C99+10+C100+C102+C103</f>
        <v>736.34999999999991</v>
      </c>
      <c r="G105" s="20">
        <v>721.47</v>
      </c>
      <c r="H105" s="12"/>
      <c r="I105" s="10"/>
    </row>
    <row r="106" spans="1:9" x14ac:dyDescent="0.2">
      <c r="A106" s="10">
        <v>19236</v>
      </c>
      <c r="B106" s="11">
        <v>42438</v>
      </c>
      <c r="C106" s="12">
        <v>8.66</v>
      </c>
      <c r="D106" s="12">
        <v>0.66</v>
      </c>
      <c r="E106" s="17"/>
      <c r="F106" s="18"/>
      <c r="G106" s="19"/>
      <c r="H106" s="12"/>
      <c r="I106" s="10"/>
    </row>
    <row r="107" spans="1:9" x14ac:dyDescent="0.2">
      <c r="A107" s="10">
        <v>19237</v>
      </c>
      <c r="B107" s="11">
        <v>42438</v>
      </c>
      <c r="C107" s="12">
        <v>15</v>
      </c>
      <c r="D107" s="12">
        <v>1.1399999999999999</v>
      </c>
      <c r="E107" s="15" t="s">
        <v>11</v>
      </c>
      <c r="F107" s="21"/>
      <c r="G107" s="22"/>
      <c r="H107" s="10"/>
      <c r="I107" s="10"/>
    </row>
    <row r="108" spans="1:9" x14ac:dyDescent="0.2">
      <c r="A108" s="10">
        <v>19238</v>
      </c>
      <c r="B108" s="11">
        <v>42438</v>
      </c>
      <c r="C108" s="12">
        <v>95.26</v>
      </c>
      <c r="D108" s="12">
        <v>7.26</v>
      </c>
      <c r="E108" s="13"/>
      <c r="F108" s="18"/>
      <c r="G108" s="19"/>
      <c r="H108" s="12"/>
      <c r="I108" s="10"/>
    </row>
    <row r="109" spans="1:9" x14ac:dyDescent="0.2">
      <c r="A109" s="10">
        <v>19239</v>
      </c>
      <c r="B109" s="11">
        <v>42438</v>
      </c>
      <c r="C109" s="12">
        <v>64.95</v>
      </c>
      <c r="D109" s="12">
        <v>4.95</v>
      </c>
      <c r="E109" s="15" t="s">
        <v>21</v>
      </c>
      <c r="F109" s="21"/>
      <c r="G109" s="22"/>
      <c r="H109" s="10"/>
      <c r="I109" s="10"/>
    </row>
    <row r="110" spans="1:9" x14ac:dyDescent="0.2">
      <c r="A110" s="10">
        <v>19240</v>
      </c>
      <c r="B110" s="11">
        <v>42438</v>
      </c>
      <c r="C110" s="12">
        <v>87.68</v>
      </c>
      <c r="D110" s="12">
        <v>6.68</v>
      </c>
      <c r="E110" s="15" t="s">
        <v>11</v>
      </c>
      <c r="F110" s="21"/>
      <c r="G110" s="22"/>
      <c r="H110" s="10"/>
      <c r="I110" s="10"/>
    </row>
    <row r="111" spans="1:9" x14ac:dyDescent="0.2">
      <c r="A111" s="10">
        <v>19241</v>
      </c>
      <c r="B111" s="11">
        <v>42438</v>
      </c>
      <c r="C111" s="12">
        <v>28</v>
      </c>
      <c r="D111" s="12"/>
      <c r="E111" s="13"/>
      <c r="F111" s="134">
        <f>+C107+C110</f>
        <v>102.68</v>
      </c>
      <c r="G111" s="123">
        <f>+F111*0.97831</f>
        <v>100.45287080000001</v>
      </c>
      <c r="H111" s="12">
        <v>166.06</v>
      </c>
      <c r="I111" s="10"/>
    </row>
    <row r="112" spans="1:9" x14ac:dyDescent="0.2">
      <c r="A112" s="10">
        <v>19242</v>
      </c>
      <c r="B112" s="11">
        <v>42439</v>
      </c>
      <c r="C112" s="12">
        <v>63.87</v>
      </c>
      <c r="D112" s="12">
        <v>4.87</v>
      </c>
      <c r="E112" s="15" t="s">
        <v>11</v>
      </c>
      <c r="F112" s="21"/>
      <c r="G112" s="22"/>
      <c r="H112" s="10"/>
      <c r="I112" s="10"/>
    </row>
    <row r="113" spans="1:9" x14ac:dyDescent="0.2">
      <c r="A113" s="10">
        <v>19243</v>
      </c>
      <c r="B113" s="11">
        <v>42439</v>
      </c>
      <c r="C113" s="12">
        <v>10.83</v>
      </c>
      <c r="D113" s="12">
        <v>0.83</v>
      </c>
      <c r="E113" s="15" t="s">
        <v>23</v>
      </c>
      <c r="F113" s="21"/>
      <c r="G113" s="22"/>
      <c r="H113" s="10"/>
      <c r="I113" s="10"/>
    </row>
    <row r="114" spans="1:9" x14ac:dyDescent="0.2">
      <c r="A114" s="10">
        <v>19244</v>
      </c>
      <c r="B114" s="11">
        <v>42439</v>
      </c>
      <c r="C114" s="12">
        <v>50.88</v>
      </c>
      <c r="D114" s="12">
        <v>3.88</v>
      </c>
      <c r="E114" s="13"/>
      <c r="F114" s="18"/>
      <c r="G114" s="19"/>
      <c r="H114" s="12"/>
      <c r="I114" s="10"/>
    </row>
    <row r="115" spans="1:9" x14ac:dyDescent="0.2">
      <c r="A115" s="10">
        <v>19245</v>
      </c>
      <c r="B115" s="11">
        <v>42439</v>
      </c>
      <c r="C115" s="12">
        <v>175.91</v>
      </c>
      <c r="D115" s="12">
        <v>13.41</v>
      </c>
      <c r="E115" s="15" t="s">
        <v>11</v>
      </c>
      <c r="F115" s="21"/>
      <c r="G115" s="22"/>
      <c r="H115" s="10"/>
      <c r="I115" s="10"/>
    </row>
    <row r="116" spans="1:9" x14ac:dyDescent="0.2">
      <c r="A116" s="10">
        <v>19246</v>
      </c>
      <c r="B116" s="11">
        <v>42439</v>
      </c>
      <c r="C116" s="12">
        <v>13</v>
      </c>
      <c r="D116" s="12"/>
      <c r="E116" s="15" t="s">
        <v>11</v>
      </c>
      <c r="F116" s="21"/>
      <c r="G116" s="22"/>
      <c r="H116" s="10"/>
      <c r="I116" s="10"/>
    </row>
    <row r="117" spans="1:9" x14ac:dyDescent="0.2">
      <c r="A117" s="10">
        <v>19247</v>
      </c>
      <c r="B117" s="11">
        <v>42439</v>
      </c>
      <c r="C117" s="12">
        <v>28.09</v>
      </c>
      <c r="D117" s="12">
        <v>2.14</v>
      </c>
      <c r="E117" s="15" t="s">
        <v>11</v>
      </c>
      <c r="F117" s="21"/>
      <c r="G117" s="22"/>
      <c r="H117" s="10"/>
      <c r="I117" s="10"/>
    </row>
    <row r="118" spans="1:9" x14ac:dyDescent="0.2">
      <c r="A118" s="10">
        <v>19248</v>
      </c>
      <c r="B118" s="11">
        <v>42439</v>
      </c>
      <c r="C118" s="12">
        <v>80.11</v>
      </c>
      <c r="D118" s="12">
        <v>6.11</v>
      </c>
      <c r="E118" s="15" t="s">
        <v>11</v>
      </c>
      <c r="F118" s="21"/>
      <c r="G118" s="22"/>
      <c r="H118" s="10"/>
      <c r="I118" s="10"/>
    </row>
    <row r="119" spans="1:9" x14ac:dyDescent="0.2">
      <c r="A119" s="10">
        <v>19249</v>
      </c>
      <c r="B119" s="11">
        <v>42439</v>
      </c>
      <c r="C119" s="12">
        <v>95.07</v>
      </c>
      <c r="D119" s="12"/>
      <c r="E119" s="15" t="s">
        <v>596</v>
      </c>
      <c r="H119" s="10"/>
      <c r="I119" s="10"/>
    </row>
    <row r="120" spans="1:9" x14ac:dyDescent="0.2">
      <c r="A120" s="10">
        <v>19250</v>
      </c>
      <c r="B120" s="11">
        <v>42439</v>
      </c>
      <c r="C120" s="12">
        <v>96.9</v>
      </c>
      <c r="D120" s="12"/>
      <c r="E120" s="15" t="s">
        <v>596</v>
      </c>
      <c r="F120" s="134">
        <f>+C113+C115+C116+C117+C118</f>
        <v>307.94</v>
      </c>
      <c r="G120" s="123">
        <f>+F120*0.97831</f>
        <v>301.26078139999998</v>
      </c>
      <c r="H120" s="10"/>
      <c r="I120" s="10"/>
    </row>
    <row r="121" spans="1:9" x14ac:dyDescent="0.2">
      <c r="A121" s="10">
        <v>19251</v>
      </c>
      <c r="B121" s="11">
        <v>42440</v>
      </c>
      <c r="C121" s="12">
        <v>130.97999999999999</v>
      </c>
      <c r="D121" s="12">
        <v>9.98</v>
      </c>
      <c r="E121" s="17"/>
      <c r="F121" s="18"/>
      <c r="G121" s="19"/>
      <c r="H121" s="12"/>
      <c r="I121" s="10"/>
    </row>
    <row r="122" spans="1:9" x14ac:dyDescent="0.2">
      <c r="A122" s="10">
        <v>19252</v>
      </c>
      <c r="B122" s="11">
        <v>42440</v>
      </c>
      <c r="C122" s="12">
        <v>0</v>
      </c>
      <c r="D122" s="12">
        <v>0</v>
      </c>
      <c r="E122" s="15" t="s">
        <v>599</v>
      </c>
      <c r="F122" s="21"/>
      <c r="G122" s="22"/>
      <c r="H122" s="10"/>
      <c r="I122" s="10"/>
    </row>
    <row r="123" spans="1:9" x14ac:dyDescent="0.2">
      <c r="A123" s="10">
        <v>19253</v>
      </c>
      <c r="B123" s="11">
        <v>42440</v>
      </c>
      <c r="C123" s="12">
        <v>22.73</v>
      </c>
      <c r="D123" s="12">
        <v>1.73</v>
      </c>
      <c r="E123" s="15" t="s">
        <v>11</v>
      </c>
      <c r="F123" s="115"/>
      <c r="G123" s="115"/>
      <c r="H123" s="10"/>
      <c r="I123" s="10"/>
    </row>
    <row r="124" spans="1:9" x14ac:dyDescent="0.2">
      <c r="A124" s="10">
        <v>19254</v>
      </c>
      <c r="B124" s="11">
        <v>42440</v>
      </c>
      <c r="C124" s="12">
        <v>20.57</v>
      </c>
      <c r="D124" s="12">
        <v>1.57</v>
      </c>
      <c r="E124" s="15" t="s">
        <v>11</v>
      </c>
      <c r="F124" s="21"/>
      <c r="G124" s="22"/>
      <c r="H124" s="10"/>
      <c r="I124" s="10"/>
    </row>
    <row r="125" spans="1:9" x14ac:dyDescent="0.2">
      <c r="A125" s="10">
        <v>19255</v>
      </c>
      <c r="B125" s="11">
        <v>42440</v>
      </c>
      <c r="C125" s="12">
        <v>114.75</v>
      </c>
      <c r="D125" s="12">
        <v>8.75</v>
      </c>
      <c r="E125" s="15"/>
      <c r="F125" s="21"/>
      <c r="G125" s="22"/>
      <c r="H125" s="10"/>
      <c r="I125" s="10"/>
    </row>
    <row r="126" spans="1:9" x14ac:dyDescent="0.2">
      <c r="A126" s="10">
        <v>19256</v>
      </c>
      <c r="B126" s="11">
        <v>42440</v>
      </c>
      <c r="C126" s="12">
        <v>125</v>
      </c>
      <c r="D126" s="12">
        <v>9.5299999999999994</v>
      </c>
      <c r="E126" s="13"/>
      <c r="F126" s="18"/>
      <c r="G126" s="19"/>
      <c r="H126" s="12">
        <v>953.74</v>
      </c>
      <c r="I126" s="10"/>
    </row>
    <row r="127" spans="1:9" x14ac:dyDescent="0.2">
      <c r="A127" s="10">
        <v>19257</v>
      </c>
      <c r="B127" s="11">
        <v>42440</v>
      </c>
      <c r="C127" s="12">
        <v>225.7</v>
      </c>
      <c r="D127" s="12">
        <v>17.2</v>
      </c>
      <c r="E127" s="13"/>
      <c r="F127" s="18"/>
      <c r="G127" s="19"/>
      <c r="H127" s="12"/>
      <c r="I127" s="10"/>
    </row>
    <row r="128" spans="1:9" x14ac:dyDescent="0.2">
      <c r="A128" s="10">
        <v>19258</v>
      </c>
      <c r="B128" s="11">
        <v>42440</v>
      </c>
      <c r="C128" s="12">
        <v>21.65</v>
      </c>
      <c r="D128" s="12">
        <v>1.65</v>
      </c>
      <c r="E128" s="15" t="s">
        <v>11</v>
      </c>
      <c r="F128" s="21"/>
      <c r="G128" s="22"/>
      <c r="H128" s="10"/>
      <c r="I128" s="10"/>
    </row>
    <row r="129" spans="1:9" x14ac:dyDescent="0.2">
      <c r="A129" s="10">
        <v>19259</v>
      </c>
      <c r="B129" s="11">
        <v>42440</v>
      </c>
      <c r="C129" s="12">
        <v>21.28</v>
      </c>
      <c r="D129" s="12">
        <v>2.38</v>
      </c>
      <c r="E129" s="15" t="s">
        <v>11</v>
      </c>
      <c r="F129" s="21"/>
      <c r="G129" s="22"/>
      <c r="H129" s="10"/>
      <c r="I129" s="10"/>
    </row>
    <row r="130" spans="1:9" x14ac:dyDescent="0.2">
      <c r="A130" s="10">
        <v>19260</v>
      </c>
      <c r="B130" s="11">
        <v>42440</v>
      </c>
      <c r="C130" s="12">
        <v>-19.489999999999998</v>
      </c>
      <c r="D130" s="12">
        <v>-1.49</v>
      </c>
      <c r="E130" s="13"/>
      <c r="F130" s="18"/>
      <c r="G130" s="19"/>
      <c r="H130" s="12"/>
      <c r="I130" s="10"/>
    </row>
    <row r="131" spans="1:9" x14ac:dyDescent="0.2">
      <c r="A131" s="10">
        <v>19261</v>
      </c>
      <c r="B131" s="11">
        <v>42440</v>
      </c>
      <c r="C131" s="12">
        <v>43.8</v>
      </c>
      <c r="D131" s="12"/>
      <c r="E131" s="15" t="s">
        <v>600</v>
      </c>
      <c r="H131" s="10"/>
      <c r="I131" s="10"/>
    </row>
    <row r="132" spans="1:9" x14ac:dyDescent="0.2">
      <c r="A132" s="10">
        <v>19262</v>
      </c>
      <c r="B132" s="11">
        <v>42440</v>
      </c>
      <c r="C132" s="12">
        <v>9.0500000000000007</v>
      </c>
      <c r="D132" s="12"/>
      <c r="E132" s="15" t="s">
        <v>16</v>
      </c>
      <c r="H132" s="10"/>
      <c r="I132" s="10"/>
    </row>
    <row r="133" spans="1:9" x14ac:dyDescent="0.2">
      <c r="A133" s="10">
        <v>19263</v>
      </c>
      <c r="B133" s="11">
        <v>42440</v>
      </c>
      <c r="C133" s="12">
        <v>361.41</v>
      </c>
      <c r="D133" s="12"/>
      <c r="E133" s="15" t="s">
        <v>441</v>
      </c>
      <c r="F133" s="134">
        <f>+C123+C124+C128+C129+C131-10</f>
        <v>120.02999999999997</v>
      </c>
      <c r="G133" s="123">
        <f>+F133*0.97831</f>
        <v>117.42654929999998</v>
      </c>
      <c r="H133" s="10"/>
      <c r="I133" s="10"/>
    </row>
    <row r="134" spans="1:9" x14ac:dyDescent="0.2">
      <c r="A134" s="10">
        <v>19264</v>
      </c>
      <c r="B134" s="11">
        <v>42441</v>
      </c>
      <c r="C134" s="12">
        <v>213.79</v>
      </c>
      <c r="D134" s="12">
        <v>16.29</v>
      </c>
      <c r="E134" s="15" t="s">
        <v>11</v>
      </c>
      <c r="H134" s="10"/>
      <c r="I134" s="10"/>
    </row>
    <row r="135" spans="1:9" x14ac:dyDescent="0.2">
      <c r="A135" s="10">
        <v>19265</v>
      </c>
      <c r="B135" s="11">
        <v>42441</v>
      </c>
      <c r="C135" s="12">
        <v>167.79</v>
      </c>
      <c r="D135" s="12">
        <v>12.79</v>
      </c>
      <c r="E135" s="15"/>
      <c r="F135" s="21"/>
      <c r="G135" s="22"/>
      <c r="H135" s="10"/>
      <c r="I135" s="10"/>
    </row>
    <row r="136" spans="1:9" x14ac:dyDescent="0.2">
      <c r="A136" s="10">
        <v>19266</v>
      </c>
      <c r="B136" s="11">
        <v>42441</v>
      </c>
      <c r="C136" s="12">
        <v>129.79000000000002</v>
      </c>
      <c r="D136" s="12">
        <v>9.89</v>
      </c>
      <c r="E136" s="15" t="s">
        <v>7</v>
      </c>
      <c r="H136" s="10"/>
      <c r="I136" s="10"/>
    </row>
    <row r="137" spans="1:9" x14ac:dyDescent="0.2">
      <c r="A137" s="10">
        <v>19267</v>
      </c>
      <c r="B137" s="11">
        <v>42441</v>
      </c>
      <c r="C137" s="12">
        <v>6.44</v>
      </c>
      <c r="D137" s="12">
        <v>0.49</v>
      </c>
      <c r="E137" s="17"/>
      <c r="F137" s="18"/>
      <c r="G137" s="19"/>
      <c r="H137" s="12"/>
      <c r="I137" s="10"/>
    </row>
    <row r="138" spans="1:9" x14ac:dyDescent="0.2">
      <c r="A138" s="10">
        <v>19268</v>
      </c>
      <c r="B138" s="11">
        <v>42441</v>
      </c>
      <c r="C138" s="12">
        <v>305.81</v>
      </c>
      <c r="D138" s="12">
        <v>23.31</v>
      </c>
      <c r="E138" s="15" t="s">
        <v>7</v>
      </c>
      <c r="H138" s="10"/>
      <c r="I138" s="10"/>
    </row>
    <row r="139" spans="1:9" x14ac:dyDescent="0.2">
      <c r="A139" s="10">
        <v>19269</v>
      </c>
      <c r="B139" s="11">
        <v>42441</v>
      </c>
      <c r="C139" s="12">
        <v>96.34</v>
      </c>
      <c r="D139" s="12">
        <v>7.34</v>
      </c>
      <c r="E139" s="15" t="s">
        <v>11</v>
      </c>
      <c r="F139" s="21"/>
      <c r="G139" s="22"/>
      <c r="H139" s="10"/>
      <c r="I139" s="10"/>
    </row>
    <row r="140" spans="1:9" x14ac:dyDescent="0.2">
      <c r="A140" s="10">
        <v>19270</v>
      </c>
      <c r="B140" s="11">
        <v>42441</v>
      </c>
      <c r="C140" s="12">
        <v>123.95</v>
      </c>
      <c r="D140" s="12">
        <v>9.4499999999999993</v>
      </c>
      <c r="E140" s="15"/>
      <c r="H140" s="10"/>
      <c r="I140" s="10"/>
    </row>
    <row r="141" spans="1:9" x14ac:dyDescent="0.2">
      <c r="A141" s="10">
        <v>19271</v>
      </c>
      <c r="B141" s="11">
        <v>42441</v>
      </c>
      <c r="C141" s="12">
        <v>21.65</v>
      </c>
      <c r="D141" s="12">
        <v>1.65</v>
      </c>
      <c r="E141" s="15" t="s">
        <v>7</v>
      </c>
      <c r="H141" s="10"/>
      <c r="I141" s="10"/>
    </row>
    <row r="142" spans="1:9" x14ac:dyDescent="0.2">
      <c r="A142" s="10">
        <v>19272</v>
      </c>
      <c r="B142" s="11">
        <v>42441</v>
      </c>
      <c r="C142" s="12">
        <v>176.82999999999998</v>
      </c>
      <c r="D142" s="12">
        <v>13.48</v>
      </c>
      <c r="E142" s="13" t="s">
        <v>601</v>
      </c>
      <c r="F142" s="18"/>
      <c r="G142" s="19"/>
      <c r="H142" s="12"/>
      <c r="I142" s="10"/>
    </row>
    <row r="143" spans="1:9" x14ac:dyDescent="0.2">
      <c r="A143" s="10">
        <v>19273</v>
      </c>
      <c r="B143" s="11">
        <v>42441</v>
      </c>
      <c r="C143" s="12">
        <v>74</v>
      </c>
      <c r="D143" s="12"/>
      <c r="E143" s="15" t="s">
        <v>11</v>
      </c>
      <c r="H143" s="10"/>
      <c r="I143" s="10"/>
    </row>
    <row r="144" spans="1:9" x14ac:dyDescent="0.2">
      <c r="A144" s="10">
        <v>19274</v>
      </c>
      <c r="B144" s="11">
        <v>42441</v>
      </c>
      <c r="C144" s="12">
        <v>247.89</v>
      </c>
      <c r="D144" s="12">
        <v>18.89</v>
      </c>
      <c r="E144" s="15" t="s">
        <v>602</v>
      </c>
      <c r="F144" s="20">
        <f>+C134+C136+C138+C139+C143+C141</f>
        <v>841.38000000000011</v>
      </c>
      <c r="G144" s="20">
        <v>830.04</v>
      </c>
      <c r="H144" s="10"/>
      <c r="I144" s="10"/>
    </row>
    <row r="145" spans="1:9" x14ac:dyDescent="0.2">
      <c r="A145" s="10">
        <v>19275</v>
      </c>
      <c r="B145" s="11">
        <v>42443</v>
      </c>
      <c r="C145" s="12">
        <v>583.47</v>
      </c>
      <c r="D145" s="12">
        <v>44.47</v>
      </c>
      <c r="E145" s="15" t="s">
        <v>11</v>
      </c>
      <c r="H145" s="10"/>
      <c r="I145" s="10"/>
    </row>
    <row r="146" spans="1:9" x14ac:dyDescent="0.2">
      <c r="A146" s="10">
        <v>19276</v>
      </c>
      <c r="B146" s="11">
        <v>42443</v>
      </c>
      <c r="C146" s="12">
        <v>45.47</v>
      </c>
      <c r="D146" s="12">
        <v>3.47</v>
      </c>
      <c r="E146" s="17"/>
      <c r="F146" s="18"/>
      <c r="G146" s="19"/>
      <c r="H146" s="12"/>
      <c r="I146" s="10"/>
    </row>
    <row r="147" spans="1:9" x14ac:dyDescent="0.2">
      <c r="A147" s="10">
        <v>19277</v>
      </c>
      <c r="B147" s="11">
        <v>42443</v>
      </c>
      <c r="C147" s="12">
        <v>31.39</v>
      </c>
      <c r="D147" s="12">
        <v>2.39</v>
      </c>
      <c r="E147" s="17"/>
      <c r="H147" s="12"/>
      <c r="I147" s="10"/>
    </row>
    <row r="148" spans="1:9" x14ac:dyDescent="0.2">
      <c r="A148" s="10">
        <v>19278</v>
      </c>
      <c r="B148" s="11">
        <v>42443</v>
      </c>
      <c r="C148" s="12">
        <v>51.96</v>
      </c>
      <c r="D148" s="12">
        <v>3.96</v>
      </c>
      <c r="E148" s="15" t="s">
        <v>11</v>
      </c>
      <c r="F148" s="21"/>
      <c r="G148" s="22"/>
      <c r="H148" s="10"/>
      <c r="I148" s="10"/>
    </row>
    <row r="149" spans="1:9" x14ac:dyDescent="0.2">
      <c r="A149" s="10">
        <v>19279</v>
      </c>
      <c r="B149" s="11">
        <v>42443</v>
      </c>
      <c r="C149" s="12">
        <v>16.18</v>
      </c>
      <c r="D149" s="12">
        <v>1.23</v>
      </c>
      <c r="E149" s="15" t="s">
        <v>11</v>
      </c>
      <c r="F149" s="21"/>
      <c r="G149" s="22"/>
      <c r="H149" s="10"/>
      <c r="I149" s="10"/>
    </row>
    <row r="150" spans="1:9" x14ac:dyDescent="0.2">
      <c r="A150" s="10">
        <v>19280</v>
      </c>
      <c r="B150" s="11">
        <v>42443</v>
      </c>
      <c r="C150" s="12">
        <v>43.3</v>
      </c>
      <c r="D150" s="12">
        <v>3.3</v>
      </c>
      <c r="E150" s="15" t="s">
        <v>11</v>
      </c>
      <c r="F150" s="21"/>
      <c r="G150" s="22"/>
      <c r="H150" s="10"/>
      <c r="I150" s="10"/>
    </row>
    <row r="151" spans="1:9" x14ac:dyDescent="0.2">
      <c r="A151" s="10">
        <v>19281</v>
      </c>
      <c r="B151" s="11">
        <v>42443</v>
      </c>
      <c r="C151" s="12">
        <v>10</v>
      </c>
      <c r="D151" s="12">
        <v>0.76</v>
      </c>
      <c r="E151" s="17"/>
      <c r="H151" s="12"/>
      <c r="I151" s="10"/>
    </row>
    <row r="152" spans="1:9" x14ac:dyDescent="0.2">
      <c r="A152" s="10">
        <v>19282</v>
      </c>
      <c r="B152" s="11">
        <v>42443</v>
      </c>
      <c r="C152" s="12">
        <v>290.64999999999998</v>
      </c>
      <c r="D152" s="12">
        <v>22.15</v>
      </c>
      <c r="E152" s="15" t="s">
        <v>11</v>
      </c>
      <c r="H152" s="10"/>
      <c r="I152" s="10"/>
    </row>
    <row r="153" spans="1:9" x14ac:dyDescent="0.2">
      <c r="A153" s="10">
        <v>19283</v>
      </c>
      <c r="B153" s="11">
        <v>42443</v>
      </c>
      <c r="C153" s="12">
        <v>44.38</v>
      </c>
      <c r="D153" s="12">
        <v>3.38</v>
      </c>
      <c r="E153" s="15" t="s">
        <v>7</v>
      </c>
      <c r="H153" s="10"/>
      <c r="I153" s="10"/>
    </row>
    <row r="154" spans="1:9" x14ac:dyDescent="0.2">
      <c r="A154" s="10">
        <v>19284</v>
      </c>
      <c r="B154" s="11">
        <v>42443</v>
      </c>
      <c r="C154" s="12">
        <v>31.39</v>
      </c>
      <c r="D154" s="12">
        <v>2.39</v>
      </c>
      <c r="E154" s="15" t="s">
        <v>11</v>
      </c>
      <c r="F154" s="21"/>
      <c r="G154" s="22"/>
      <c r="H154" s="10"/>
      <c r="I154" s="10"/>
    </row>
    <row r="155" spans="1:9" x14ac:dyDescent="0.2">
      <c r="A155" s="10">
        <v>19285</v>
      </c>
      <c r="B155" s="11">
        <v>42443</v>
      </c>
      <c r="C155" s="12">
        <v>26</v>
      </c>
      <c r="D155" s="12">
        <v>1.98</v>
      </c>
      <c r="E155" s="17"/>
      <c r="H155" s="12"/>
      <c r="I155" s="10"/>
    </row>
    <row r="156" spans="1:9" x14ac:dyDescent="0.2">
      <c r="A156" s="10">
        <v>19286</v>
      </c>
      <c r="B156" s="11">
        <v>42443</v>
      </c>
      <c r="C156" s="12">
        <v>285</v>
      </c>
      <c r="D156" s="12">
        <v>21.72</v>
      </c>
      <c r="E156" s="17"/>
      <c r="H156" s="12"/>
      <c r="I156" s="10"/>
    </row>
    <row r="157" spans="1:9" x14ac:dyDescent="0.2">
      <c r="A157" s="10">
        <v>19287</v>
      </c>
      <c r="B157" s="11">
        <v>42443</v>
      </c>
      <c r="C157" s="12">
        <v>18.349999999999998</v>
      </c>
      <c r="D157" s="12">
        <v>1.4</v>
      </c>
      <c r="E157" s="15" t="s">
        <v>11</v>
      </c>
      <c r="H157" s="10"/>
      <c r="I157" s="10"/>
    </row>
    <row r="158" spans="1:9" x14ac:dyDescent="0.2">
      <c r="A158" s="10">
        <v>19288</v>
      </c>
      <c r="B158" s="11">
        <v>42443</v>
      </c>
      <c r="C158" s="12">
        <v>28.9</v>
      </c>
      <c r="D158" s="12">
        <v>2.2000000000000002</v>
      </c>
      <c r="E158" s="17"/>
      <c r="F158" s="20">
        <f>+C145+C148+C149+C150+C152+C153+C154+C157</f>
        <v>1079.68</v>
      </c>
      <c r="G158" s="20">
        <v>1046.5899999999999</v>
      </c>
      <c r="H158" s="12"/>
      <c r="I158" s="10"/>
    </row>
    <row r="159" spans="1:9" x14ac:dyDescent="0.2">
      <c r="A159" s="10">
        <v>19289</v>
      </c>
      <c r="B159" s="11">
        <v>42444</v>
      </c>
      <c r="C159" s="12">
        <v>76.099999999999994</v>
      </c>
      <c r="D159" s="12"/>
      <c r="E159" s="15" t="s">
        <v>441</v>
      </c>
      <c r="H159" s="10"/>
      <c r="I159" s="10"/>
    </row>
    <row r="160" spans="1:9" x14ac:dyDescent="0.2">
      <c r="A160" s="10">
        <v>19290</v>
      </c>
      <c r="B160" s="11">
        <v>42444</v>
      </c>
      <c r="C160" s="12">
        <v>111.5</v>
      </c>
      <c r="D160" s="12">
        <v>8.5</v>
      </c>
      <c r="E160" s="15" t="s">
        <v>7</v>
      </c>
      <c r="H160" s="10"/>
      <c r="I160" s="10"/>
    </row>
    <row r="161" spans="1:9" x14ac:dyDescent="0.2">
      <c r="A161" s="10">
        <v>19291</v>
      </c>
      <c r="B161" s="11">
        <v>42444</v>
      </c>
      <c r="C161" s="12">
        <v>20.57</v>
      </c>
      <c r="D161" s="12">
        <v>1.57</v>
      </c>
      <c r="E161" s="15" t="s">
        <v>11</v>
      </c>
      <c r="H161" s="10"/>
      <c r="I161" s="10"/>
    </row>
    <row r="162" spans="1:9" x14ac:dyDescent="0.2">
      <c r="A162" s="10">
        <v>19292</v>
      </c>
      <c r="B162" s="11">
        <v>42444</v>
      </c>
      <c r="C162" s="12">
        <v>102.84</v>
      </c>
      <c r="D162" s="12">
        <v>7.84</v>
      </c>
      <c r="E162" s="15"/>
      <c r="H162" s="10"/>
      <c r="I162" s="10"/>
    </row>
    <row r="163" spans="1:9" x14ac:dyDescent="0.2">
      <c r="A163" s="10">
        <v>19293</v>
      </c>
      <c r="B163" s="11">
        <v>42444</v>
      </c>
      <c r="C163" s="12">
        <v>453.57</v>
      </c>
      <c r="D163" s="12">
        <v>34.57</v>
      </c>
      <c r="E163" s="15" t="s">
        <v>7</v>
      </c>
      <c r="H163" s="10"/>
      <c r="I163" s="10"/>
    </row>
    <row r="164" spans="1:9" x14ac:dyDescent="0.2">
      <c r="A164" s="10">
        <v>19294</v>
      </c>
      <c r="B164" s="11">
        <v>42444</v>
      </c>
      <c r="C164" s="12">
        <v>168.87</v>
      </c>
      <c r="D164" s="12">
        <v>12.87</v>
      </c>
      <c r="E164" s="15" t="s">
        <v>7</v>
      </c>
      <c r="F164" s="21"/>
      <c r="G164" s="22"/>
      <c r="H164" s="10"/>
      <c r="I164" s="10"/>
    </row>
    <row r="165" spans="1:9" x14ac:dyDescent="0.2">
      <c r="A165" s="10">
        <v>19295</v>
      </c>
      <c r="B165" s="11">
        <v>42444</v>
      </c>
      <c r="C165" s="12">
        <v>550</v>
      </c>
      <c r="D165" s="12">
        <v>41.92</v>
      </c>
      <c r="E165" s="13" t="s">
        <v>603</v>
      </c>
      <c r="F165" s="18"/>
      <c r="G165" s="19"/>
      <c r="H165" s="12"/>
      <c r="I165" s="10"/>
    </row>
    <row r="166" spans="1:9" x14ac:dyDescent="0.2">
      <c r="A166" s="10">
        <v>19296</v>
      </c>
      <c r="B166" s="11">
        <v>42444</v>
      </c>
      <c r="C166" s="12">
        <v>184.03</v>
      </c>
      <c r="D166" s="12">
        <v>14.03</v>
      </c>
      <c r="E166" s="15" t="s">
        <v>11</v>
      </c>
      <c r="H166" s="10"/>
      <c r="I166" s="10"/>
    </row>
    <row r="167" spans="1:9" x14ac:dyDescent="0.2">
      <c r="A167" s="10">
        <v>19297</v>
      </c>
      <c r="B167" s="11">
        <v>42444</v>
      </c>
      <c r="C167" s="12">
        <v>166.71</v>
      </c>
      <c r="D167" s="12">
        <v>12.71</v>
      </c>
      <c r="E167" s="17"/>
      <c r="H167" s="12"/>
      <c r="I167" s="10"/>
    </row>
    <row r="168" spans="1:9" x14ac:dyDescent="0.2">
      <c r="A168" s="10">
        <v>19298</v>
      </c>
      <c r="B168" s="11">
        <v>42444</v>
      </c>
      <c r="C168" s="12">
        <v>24.08</v>
      </c>
      <c r="D168" s="12"/>
      <c r="E168" s="15" t="s">
        <v>17</v>
      </c>
      <c r="F168" s="21"/>
      <c r="G168" s="22"/>
      <c r="H168" s="10"/>
      <c r="I168" s="10"/>
    </row>
    <row r="169" spans="1:9" x14ac:dyDescent="0.2">
      <c r="A169" s="10">
        <v>19299</v>
      </c>
      <c r="B169" s="11">
        <v>42444</v>
      </c>
      <c r="C169" s="12">
        <v>24.08</v>
      </c>
      <c r="D169" s="12"/>
      <c r="E169" s="15" t="s">
        <v>17</v>
      </c>
      <c r="F169" s="21"/>
      <c r="G169" s="22"/>
      <c r="H169" s="10"/>
      <c r="I169" s="10"/>
    </row>
    <row r="170" spans="1:9" x14ac:dyDescent="0.2">
      <c r="A170" s="10">
        <v>19300</v>
      </c>
      <c r="B170" s="11">
        <v>42444</v>
      </c>
      <c r="C170" s="12">
        <v>24.08</v>
      </c>
      <c r="D170" s="12"/>
      <c r="E170" s="15" t="s">
        <v>17</v>
      </c>
      <c r="F170" s="21"/>
      <c r="G170" s="22"/>
      <c r="H170" s="10"/>
      <c r="I170" s="10"/>
    </row>
    <row r="171" spans="1:9" x14ac:dyDescent="0.2">
      <c r="A171" s="10">
        <v>19301</v>
      </c>
      <c r="B171" s="11">
        <v>42444</v>
      </c>
      <c r="C171" s="12">
        <v>24.08</v>
      </c>
      <c r="D171" s="12"/>
      <c r="E171" s="15" t="s">
        <v>17</v>
      </c>
      <c r="F171" s="21"/>
      <c r="G171" s="22"/>
      <c r="H171" s="10"/>
      <c r="I171" s="10"/>
    </row>
    <row r="172" spans="1:9" x14ac:dyDescent="0.2">
      <c r="A172" s="10">
        <v>19302</v>
      </c>
      <c r="B172" s="11">
        <v>42444</v>
      </c>
      <c r="C172" s="12">
        <v>24.08</v>
      </c>
      <c r="D172" s="12"/>
      <c r="E172" s="15" t="s">
        <v>17</v>
      </c>
      <c r="H172" s="10"/>
      <c r="I172" s="10"/>
    </row>
    <row r="173" spans="1:9" x14ac:dyDescent="0.2">
      <c r="A173" s="10">
        <v>19303</v>
      </c>
      <c r="B173" s="11">
        <v>42444</v>
      </c>
      <c r="C173" s="12">
        <v>15</v>
      </c>
      <c r="D173" s="12">
        <v>1.1399999999999999</v>
      </c>
      <c r="E173" s="17"/>
      <c r="H173" s="12"/>
      <c r="I173" s="10"/>
    </row>
    <row r="174" spans="1:9" x14ac:dyDescent="0.2">
      <c r="A174" s="10">
        <v>19304</v>
      </c>
      <c r="B174" s="11">
        <v>42444</v>
      </c>
      <c r="C174" s="12">
        <v>51.83</v>
      </c>
      <c r="D174" s="12"/>
      <c r="E174" s="15" t="s">
        <v>441</v>
      </c>
      <c r="F174" s="20">
        <f>+C160+C161+C163+59.54+C164+C166+C168+C169+C170+C171+C172+114.6</f>
        <v>1233.0799999999997</v>
      </c>
      <c r="G174" s="20">
        <v>1207.79</v>
      </c>
      <c r="H174" s="10"/>
      <c r="I174" s="10"/>
    </row>
    <row r="175" spans="1:9" x14ac:dyDescent="0.2">
      <c r="A175" s="10">
        <v>19305</v>
      </c>
      <c r="B175" s="11">
        <v>42445</v>
      </c>
      <c r="C175" s="12">
        <v>104.62</v>
      </c>
      <c r="D175" s="12"/>
      <c r="E175" s="15" t="s">
        <v>441</v>
      </c>
      <c r="H175" s="10"/>
      <c r="I175" s="10"/>
    </row>
    <row r="176" spans="1:9" x14ac:dyDescent="0.2">
      <c r="A176" s="10">
        <v>19306</v>
      </c>
      <c r="B176" s="11">
        <v>42445</v>
      </c>
      <c r="C176" s="12">
        <v>14</v>
      </c>
      <c r="D176" s="12">
        <v>1.07</v>
      </c>
      <c r="E176" s="15" t="s">
        <v>11</v>
      </c>
      <c r="F176" s="21"/>
      <c r="G176" s="22"/>
      <c r="H176" s="10"/>
      <c r="I176" s="10"/>
    </row>
    <row r="177" spans="1:9" x14ac:dyDescent="0.2">
      <c r="A177" s="10">
        <v>19307</v>
      </c>
      <c r="B177" s="11">
        <v>42445</v>
      </c>
      <c r="C177" s="12">
        <v>21.65</v>
      </c>
      <c r="D177" s="12">
        <v>1.65</v>
      </c>
      <c r="E177" s="15" t="s">
        <v>11</v>
      </c>
      <c r="H177" s="10"/>
      <c r="I177" s="10"/>
    </row>
    <row r="178" spans="1:9" x14ac:dyDescent="0.2">
      <c r="A178" s="10">
        <v>19308</v>
      </c>
      <c r="B178" s="11">
        <v>42445</v>
      </c>
      <c r="C178" s="12">
        <v>48.2</v>
      </c>
      <c r="D178" s="12"/>
      <c r="E178" s="15" t="s">
        <v>97</v>
      </c>
      <c r="H178" s="10"/>
      <c r="I178" s="10"/>
    </row>
    <row r="179" spans="1:9" x14ac:dyDescent="0.2">
      <c r="A179" s="10">
        <v>19309</v>
      </c>
      <c r="B179" s="11">
        <v>42445</v>
      </c>
      <c r="C179" s="12">
        <v>194</v>
      </c>
      <c r="D179" s="12">
        <v>14.78</v>
      </c>
      <c r="E179" s="15" t="s">
        <v>11</v>
      </c>
      <c r="H179" s="10"/>
      <c r="I179" s="10"/>
    </row>
    <row r="180" spans="1:9" x14ac:dyDescent="0.2">
      <c r="A180" s="10">
        <v>19310</v>
      </c>
      <c r="B180" s="11">
        <v>42445</v>
      </c>
      <c r="C180" s="12">
        <v>10.83</v>
      </c>
      <c r="D180" s="12">
        <v>0.83</v>
      </c>
      <c r="E180" s="17"/>
      <c r="F180" s="18"/>
      <c r="G180" s="19"/>
      <c r="H180" s="12"/>
      <c r="I180" s="10"/>
    </row>
    <row r="181" spans="1:9" x14ac:dyDescent="0.2">
      <c r="A181" s="10">
        <v>19311</v>
      </c>
      <c r="B181" s="11">
        <v>42445</v>
      </c>
      <c r="C181" s="12">
        <v>24.08</v>
      </c>
      <c r="D181" s="12"/>
      <c r="E181" s="15" t="s">
        <v>11</v>
      </c>
      <c r="F181" s="21"/>
      <c r="G181" s="22"/>
      <c r="H181" s="10"/>
      <c r="I181" s="10"/>
    </row>
    <row r="182" spans="1:9" x14ac:dyDescent="0.2">
      <c r="A182" s="10">
        <v>19312</v>
      </c>
      <c r="B182" s="11">
        <v>42445</v>
      </c>
      <c r="C182" s="12">
        <v>24.08</v>
      </c>
      <c r="D182" s="12"/>
      <c r="E182" s="15" t="s">
        <v>11</v>
      </c>
      <c r="F182" s="21"/>
      <c r="G182" s="22"/>
      <c r="H182" s="10"/>
      <c r="I182" s="10"/>
    </row>
    <row r="183" spans="1:9" x14ac:dyDescent="0.2">
      <c r="A183" s="10">
        <v>19313</v>
      </c>
      <c r="B183" s="11">
        <v>42445</v>
      </c>
      <c r="C183" s="12">
        <v>24.08</v>
      </c>
      <c r="D183" s="12"/>
      <c r="E183" s="15" t="s">
        <v>11</v>
      </c>
      <c r="F183" s="21"/>
      <c r="G183" s="22"/>
      <c r="H183" s="10"/>
      <c r="I183" s="10"/>
    </row>
    <row r="184" spans="1:9" x14ac:dyDescent="0.2">
      <c r="A184" s="10">
        <v>19314</v>
      </c>
      <c r="B184" s="11">
        <v>42445</v>
      </c>
      <c r="C184" s="12">
        <v>24.08</v>
      </c>
      <c r="D184" s="12"/>
      <c r="E184" s="15" t="s">
        <v>11</v>
      </c>
      <c r="F184" s="21"/>
      <c r="G184" s="22"/>
      <c r="H184" s="10"/>
      <c r="I184" s="10"/>
    </row>
    <row r="185" spans="1:9" x14ac:dyDescent="0.2">
      <c r="A185" s="10">
        <v>19315</v>
      </c>
      <c r="B185" s="11">
        <v>42445</v>
      </c>
      <c r="C185" s="12">
        <v>286.86</v>
      </c>
      <c r="D185" s="12">
        <v>21.86</v>
      </c>
      <c r="E185" s="13" t="s">
        <v>604</v>
      </c>
      <c r="H185" s="12"/>
      <c r="I185" s="10"/>
    </row>
    <row r="186" spans="1:9" x14ac:dyDescent="0.2">
      <c r="A186" s="10">
        <v>19316</v>
      </c>
      <c r="B186" s="11">
        <v>42445</v>
      </c>
      <c r="C186" s="12">
        <v>286.86</v>
      </c>
      <c r="D186" s="12">
        <v>21.86</v>
      </c>
      <c r="E186" s="15" t="s">
        <v>11</v>
      </c>
      <c r="H186" s="10"/>
      <c r="I186" s="10"/>
    </row>
    <row r="187" spans="1:9" x14ac:dyDescent="0.2">
      <c r="A187" s="10">
        <v>19317</v>
      </c>
      <c r="B187" s="11">
        <v>42445</v>
      </c>
      <c r="C187" s="12">
        <v>25.93</v>
      </c>
      <c r="D187" s="12">
        <v>1.98</v>
      </c>
      <c r="E187" s="17"/>
      <c r="H187" s="12"/>
      <c r="I187" s="10"/>
    </row>
    <row r="188" spans="1:9" x14ac:dyDescent="0.2">
      <c r="A188" s="10">
        <v>19318</v>
      </c>
      <c r="B188" s="11">
        <v>42445</v>
      </c>
      <c r="C188" s="12">
        <v>154.80000000000001</v>
      </c>
      <c r="D188" s="12">
        <v>11.8</v>
      </c>
      <c r="E188" s="15" t="s">
        <v>7</v>
      </c>
      <c r="H188" s="10"/>
      <c r="I188" s="10"/>
    </row>
    <row r="189" spans="1:9" x14ac:dyDescent="0.2">
      <c r="A189" s="10">
        <v>19319</v>
      </c>
      <c r="B189" s="11">
        <v>42445</v>
      </c>
      <c r="C189" s="12">
        <v>85.52</v>
      </c>
      <c r="D189" s="12">
        <v>6.52</v>
      </c>
      <c r="E189" s="15" t="s">
        <v>11</v>
      </c>
      <c r="H189" s="10"/>
      <c r="I189" s="10"/>
    </row>
    <row r="190" spans="1:9" x14ac:dyDescent="0.2">
      <c r="A190" s="10">
        <v>19320</v>
      </c>
      <c r="B190" s="11">
        <v>42445</v>
      </c>
      <c r="C190" s="12">
        <v>34.64</v>
      </c>
      <c r="D190" s="12">
        <v>2.64</v>
      </c>
      <c r="E190" s="15" t="s">
        <v>11</v>
      </c>
      <c r="H190" s="10"/>
      <c r="I190" s="10"/>
    </row>
    <row r="191" spans="1:9" x14ac:dyDescent="0.2">
      <c r="A191" s="10">
        <v>19321</v>
      </c>
      <c r="B191" s="11">
        <v>42445</v>
      </c>
      <c r="C191" s="12">
        <v>190.52</v>
      </c>
      <c r="D191" s="12"/>
      <c r="E191" s="15" t="s">
        <v>16</v>
      </c>
      <c r="H191" s="10"/>
      <c r="I191" s="10"/>
    </row>
    <row r="192" spans="1:9" x14ac:dyDescent="0.2">
      <c r="A192" s="10">
        <v>19322</v>
      </c>
      <c r="B192" s="11">
        <v>42445</v>
      </c>
      <c r="C192" s="12">
        <v>37.89</v>
      </c>
      <c r="D192" s="12">
        <v>2.89</v>
      </c>
      <c r="E192" s="17"/>
      <c r="H192" s="12"/>
      <c r="I192" s="10"/>
    </row>
    <row r="193" spans="1:9" x14ac:dyDescent="0.2">
      <c r="A193" s="10">
        <v>19323</v>
      </c>
      <c r="B193" s="11">
        <v>42445</v>
      </c>
      <c r="C193" s="12">
        <v>64.95</v>
      </c>
      <c r="D193" s="12">
        <v>4.95</v>
      </c>
      <c r="E193" s="15" t="s">
        <v>21</v>
      </c>
      <c r="F193" s="20">
        <f>+C176+C177+C181+C182+C183+C184+C186+C189+80+C190+208.92+113.66+116.83</f>
        <v>1058.3999999999999</v>
      </c>
      <c r="G193" s="20">
        <v>1039.43</v>
      </c>
      <c r="H193" s="12"/>
      <c r="I193" s="10"/>
    </row>
    <row r="194" spans="1:9" x14ac:dyDescent="0.2">
      <c r="A194" s="10">
        <v>19324</v>
      </c>
      <c r="B194" s="11">
        <v>42446</v>
      </c>
      <c r="C194" s="12">
        <v>4</v>
      </c>
      <c r="D194" s="12"/>
      <c r="E194" s="15" t="s">
        <v>25</v>
      </c>
      <c r="F194" s="21"/>
      <c r="G194" s="22"/>
      <c r="H194" s="10"/>
      <c r="I194" s="10"/>
    </row>
    <row r="195" spans="1:9" x14ac:dyDescent="0.2">
      <c r="A195" s="10">
        <v>19325</v>
      </c>
      <c r="B195" s="11">
        <v>42446</v>
      </c>
      <c r="C195" s="12">
        <v>60.62</v>
      </c>
      <c r="D195" s="12">
        <v>4.62</v>
      </c>
      <c r="E195" s="15" t="s">
        <v>7</v>
      </c>
      <c r="F195" s="21"/>
      <c r="G195" s="22"/>
      <c r="H195" s="10"/>
      <c r="I195" s="10"/>
    </row>
    <row r="196" spans="1:9" x14ac:dyDescent="0.2">
      <c r="A196" s="10">
        <v>19326</v>
      </c>
      <c r="B196" s="11">
        <v>42446</v>
      </c>
      <c r="C196" s="12">
        <v>20.57</v>
      </c>
      <c r="D196" s="12">
        <v>1.57</v>
      </c>
      <c r="E196" s="15" t="s">
        <v>7</v>
      </c>
      <c r="H196" s="10"/>
      <c r="I196" s="10"/>
    </row>
    <row r="197" spans="1:9" x14ac:dyDescent="0.2">
      <c r="A197" s="10">
        <v>19327</v>
      </c>
      <c r="B197" s="11">
        <v>42446</v>
      </c>
      <c r="C197" s="12">
        <v>62.79</v>
      </c>
      <c r="D197" s="12">
        <v>4.79</v>
      </c>
      <c r="E197" s="15" t="s">
        <v>11</v>
      </c>
      <c r="H197" s="10"/>
      <c r="I197" s="10"/>
    </row>
    <row r="198" spans="1:9" x14ac:dyDescent="0.2">
      <c r="A198" s="10">
        <v>19328</v>
      </c>
      <c r="B198" s="11">
        <v>42446</v>
      </c>
      <c r="C198" s="12">
        <v>20.57</v>
      </c>
      <c r="D198" s="12">
        <v>1.57</v>
      </c>
      <c r="E198" s="15" t="s">
        <v>7</v>
      </c>
      <c r="H198" s="10"/>
      <c r="I198" s="10"/>
    </row>
    <row r="199" spans="1:9" x14ac:dyDescent="0.2">
      <c r="A199" s="10">
        <v>19329</v>
      </c>
      <c r="B199" s="11">
        <v>42446</v>
      </c>
      <c r="C199" s="12">
        <v>161.29</v>
      </c>
      <c r="D199" s="12">
        <v>12.29</v>
      </c>
      <c r="E199" s="15"/>
      <c r="H199" s="10"/>
      <c r="I199" s="10"/>
    </row>
    <row r="200" spans="1:9" x14ac:dyDescent="0.2">
      <c r="A200" s="10">
        <v>19330</v>
      </c>
      <c r="B200" s="11">
        <v>42446</v>
      </c>
      <c r="C200" s="12">
        <v>94.18</v>
      </c>
      <c r="D200" s="12">
        <v>7.18</v>
      </c>
      <c r="E200" s="15" t="s">
        <v>11</v>
      </c>
      <c r="F200" s="20">
        <f>+C195+C198+C197+C200</f>
        <v>238.16</v>
      </c>
      <c r="G200" s="20">
        <v>234.99</v>
      </c>
      <c r="H200" s="10"/>
      <c r="I200" s="10"/>
    </row>
    <row r="201" spans="1:9" x14ac:dyDescent="0.2">
      <c r="A201" s="10">
        <v>19331</v>
      </c>
      <c r="B201" s="11">
        <v>42447</v>
      </c>
      <c r="C201" s="12">
        <v>546.66</v>
      </c>
      <c r="D201" s="12">
        <v>41.66</v>
      </c>
      <c r="E201" s="15" t="s">
        <v>13</v>
      </c>
      <c r="F201" s="21"/>
      <c r="G201" s="22"/>
      <c r="H201" s="10"/>
      <c r="I201" s="10"/>
    </row>
    <row r="202" spans="1:9" x14ac:dyDescent="0.2">
      <c r="A202" s="10">
        <v>19332</v>
      </c>
      <c r="B202" s="11">
        <v>42447</v>
      </c>
      <c r="C202" s="12">
        <v>124.49</v>
      </c>
      <c r="D202" s="12">
        <v>9.49</v>
      </c>
      <c r="E202" s="15" t="s">
        <v>605</v>
      </c>
      <c r="F202" s="21"/>
      <c r="G202" s="22"/>
      <c r="H202" s="10"/>
      <c r="I202" s="10"/>
    </row>
    <row r="203" spans="1:9" x14ac:dyDescent="0.2">
      <c r="A203" s="10">
        <v>19333</v>
      </c>
      <c r="B203" s="11">
        <v>42447</v>
      </c>
      <c r="C203" s="12">
        <v>20.57</v>
      </c>
      <c r="D203" s="12">
        <v>1.57</v>
      </c>
      <c r="E203" s="13"/>
      <c r="F203" s="18"/>
      <c r="G203" s="19"/>
      <c r="H203" s="12"/>
      <c r="I203" s="10"/>
    </row>
    <row r="204" spans="1:9" x14ac:dyDescent="0.2">
      <c r="A204" s="10">
        <v>19334</v>
      </c>
      <c r="B204" s="11">
        <v>42447</v>
      </c>
      <c r="C204" s="12">
        <v>173.01</v>
      </c>
      <c r="D204" s="12">
        <v>13.19</v>
      </c>
      <c r="E204" s="13"/>
      <c r="F204" s="18"/>
      <c r="G204" s="19"/>
      <c r="H204" s="12"/>
      <c r="I204" s="10"/>
    </row>
    <row r="205" spans="1:9" x14ac:dyDescent="0.2">
      <c r="A205" s="10">
        <v>19335</v>
      </c>
      <c r="B205" s="11">
        <v>42447</v>
      </c>
      <c r="C205" s="12">
        <v>20</v>
      </c>
      <c r="D205" s="12">
        <v>1.52</v>
      </c>
      <c r="E205" s="13"/>
      <c r="F205" s="18"/>
      <c r="G205" s="19"/>
      <c r="H205" s="12"/>
      <c r="I205" s="10"/>
    </row>
    <row r="206" spans="1:9" x14ac:dyDescent="0.2">
      <c r="A206" s="10">
        <v>19336</v>
      </c>
      <c r="B206" s="11">
        <v>42447</v>
      </c>
      <c r="C206" s="12">
        <v>300</v>
      </c>
      <c r="D206" s="12">
        <v>22.86</v>
      </c>
      <c r="E206" s="13"/>
      <c r="F206" s="18"/>
      <c r="G206" s="19"/>
      <c r="H206" s="12"/>
      <c r="I206" s="10"/>
    </row>
    <row r="207" spans="1:9" x14ac:dyDescent="0.2">
      <c r="A207" s="10">
        <v>19337</v>
      </c>
      <c r="B207" s="11">
        <v>42447</v>
      </c>
      <c r="C207" s="12">
        <v>178.61</v>
      </c>
      <c r="D207" s="12">
        <v>13.61</v>
      </c>
      <c r="E207" s="15" t="s">
        <v>11</v>
      </c>
      <c r="F207" s="21"/>
      <c r="G207" s="22"/>
      <c r="H207" s="10"/>
      <c r="I207" s="10"/>
    </row>
    <row r="208" spans="1:9" x14ac:dyDescent="0.2">
      <c r="A208" s="10">
        <v>19338</v>
      </c>
      <c r="B208" s="11">
        <v>42447</v>
      </c>
      <c r="C208" s="12">
        <v>41.14</v>
      </c>
      <c r="D208" s="12">
        <v>3.14</v>
      </c>
      <c r="E208" s="15"/>
      <c r="F208" s="21"/>
      <c r="G208" s="22"/>
      <c r="H208" s="10"/>
      <c r="I208" s="10"/>
    </row>
    <row r="209" spans="1:9" x14ac:dyDescent="0.2">
      <c r="A209" s="10">
        <v>19339</v>
      </c>
      <c r="B209" s="11">
        <v>42447</v>
      </c>
      <c r="C209" s="12">
        <v>18.349999999999998</v>
      </c>
      <c r="D209" s="12">
        <v>1.4</v>
      </c>
      <c r="E209" s="15" t="s">
        <v>11</v>
      </c>
      <c r="F209" s="21"/>
      <c r="G209" s="22"/>
      <c r="H209" s="10"/>
      <c r="I209" s="10"/>
    </row>
    <row r="210" spans="1:9" x14ac:dyDescent="0.2">
      <c r="A210" s="10">
        <v>19340</v>
      </c>
      <c r="B210" s="11">
        <v>42447</v>
      </c>
      <c r="C210" s="12">
        <v>10</v>
      </c>
      <c r="D210" s="12">
        <v>0.76</v>
      </c>
      <c r="E210" s="17"/>
      <c r="F210" s="20">
        <f>+C201+35+C207+C209</f>
        <v>778.62</v>
      </c>
      <c r="G210" s="20">
        <v>763.05</v>
      </c>
      <c r="H210" s="12"/>
      <c r="I210" s="10"/>
    </row>
    <row r="211" spans="1:9" x14ac:dyDescent="0.2">
      <c r="A211" s="10">
        <v>19341</v>
      </c>
      <c r="B211" s="11">
        <v>42448</v>
      </c>
      <c r="C211" s="12">
        <v>95.07</v>
      </c>
      <c r="D211" s="12"/>
      <c r="E211" s="15" t="s">
        <v>279</v>
      </c>
      <c r="H211" s="10"/>
      <c r="I211" s="10"/>
    </row>
    <row r="212" spans="1:9" x14ac:dyDescent="0.2">
      <c r="A212" s="10">
        <v>19342</v>
      </c>
      <c r="B212" s="11">
        <v>42448</v>
      </c>
      <c r="C212" s="12">
        <v>190</v>
      </c>
      <c r="D212" s="12">
        <v>14.48</v>
      </c>
      <c r="E212" s="17"/>
      <c r="F212" s="18"/>
      <c r="G212" s="19"/>
      <c r="H212" s="12"/>
      <c r="I212" s="10"/>
    </row>
    <row r="213" spans="1:9" x14ac:dyDescent="0.2">
      <c r="A213" s="10">
        <v>19343</v>
      </c>
      <c r="B213" s="11">
        <v>42448</v>
      </c>
      <c r="C213" s="12">
        <v>552.08000000000004</v>
      </c>
      <c r="D213" s="12">
        <v>42.08</v>
      </c>
      <c r="E213" s="15" t="s">
        <v>13</v>
      </c>
      <c r="F213" s="21"/>
      <c r="G213" s="22"/>
      <c r="H213" s="10"/>
      <c r="I213" s="10"/>
    </row>
    <row r="214" spans="1:9" x14ac:dyDescent="0.2">
      <c r="A214" s="10">
        <v>19344</v>
      </c>
      <c r="B214" s="11">
        <v>42448</v>
      </c>
      <c r="C214" s="12">
        <v>265.20999999999998</v>
      </c>
      <c r="D214" s="12">
        <v>20.21</v>
      </c>
      <c r="E214" s="15" t="s">
        <v>7</v>
      </c>
      <c r="H214" s="10"/>
      <c r="I214" s="10"/>
    </row>
    <row r="215" spans="1:9" x14ac:dyDescent="0.2">
      <c r="A215" s="10">
        <v>19345</v>
      </c>
      <c r="B215" s="11">
        <v>42448</v>
      </c>
      <c r="C215" s="12">
        <v>162</v>
      </c>
      <c r="D215" s="12">
        <v>12.35</v>
      </c>
      <c r="E215" s="17"/>
      <c r="F215" s="20">
        <f>300+C214</f>
        <v>565.21</v>
      </c>
      <c r="G215" s="20">
        <v>553.45000000000005</v>
      </c>
      <c r="H215" s="12"/>
      <c r="I215" s="10"/>
    </row>
    <row r="216" spans="1:9" x14ac:dyDescent="0.2">
      <c r="A216" s="10">
        <v>19346</v>
      </c>
      <c r="B216" s="11">
        <v>42450</v>
      </c>
      <c r="C216" s="12">
        <v>352.35</v>
      </c>
      <c r="D216" s="12">
        <v>26.85</v>
      </c>
      <c r="E216" s="15" t="s">
        <v>11</v>
      </c>
      <c r="H216" s="10"/>
      <c r="I216" s="10"/>
    </row>
    <row r="217" spans="1:9" x14ac:dyDescent="0.2">
      <c r="A217" s="10">
        <v>19347</v>
      </c>
      <c r="B217" s="11">
        <v>42450</v>
      </c>
      <c r="C217" s="12">
        <v>10.83</v>
      </c>
      <c r="D217" s="12">
        <v>0.83</v>
      </c>
      <c r="E217" s="17"/>
      <c r="H217" s="12"/>
      <c r="I217" s="10"/>
    </row>
    <row r="218" spans="1:9" x14ac:dyDescent="0.2">
      <c r="A218" s="10">
        <v>19348</v>
      </c>
      <c r="B218" s="11">
        <v>42450</v>
      </c>
      <c r="C218" s="12">
        <v>47.940000000000005</v>
      </c>
      <c r="D218" s="12">
        <v>0.99</v>
      </c>
      <c r="E218" s="17"/>
      <c r="F218" s="18"/>
      <c r="G218" s="19"/>
      <c r="H218" s="12"/>
      <c r="I218" s="10"/>
    </row>
    <row r="219" spans="1:9" x14ac:dyDescent="0.2">
      <c r="A219" s="10">
        <v>19349</v>
      </c>
      <c r="B219" s="11">
        <v>42450</v>
      </c>
      <c r="C219" s="12">
        <v>267.38</v>
      </c>
      <c r="D219" s="12">
        <v>20.38</v>
      </c>
      <c r="E219" s="13" t="s">
        <v>606</v>
      </c>
      <c r="F219" s="18"/>
      <c r="G219" s="19"/>
      <c r="H219" s="12"/>
      <c r="I219" s="10"/>
    </row>
    <row r="220" spans="1:9" x14ac:dyDescent="0.2">
      <c r="A220" s="10">
        <v>19350</v>
      </c>
      <c r="B220" s="11">
        <v>42450</v>
      </c>
      <c r="C220" s="12">
        <v>263.05</v>
      </c>
      <c r="D220" s="12">
        <v>20.05</v>
      </c>
      <c r="E220" s="15" t="s">
        <v>7</v>
      </c>
      <c r="F220" s="21"/>
      <c r="G220" s="22"/>
      <c r="H220" s="10"/>
      <c r="I220" s="10"/>
    </row>
    <row r="221" spans="1:9" x14ac:dyDescent="0.2">
      <c r="A221" s="10">
        <v>19351</v>
      </c>
      <c r="B221" s="11">
        <v>42450</v>
      </c>
      <c r="C221" s="12">
        <v>25.98</v>
      </c>
      <c r="D221" s="12">
        <v>1.98</v>
      </c>
      <c r="E221" s="15" t="s">
        <v>11</v>
      </c>
      <c r="F221" s="21"/>
      <c r="G221" s="22"/>
      <c r="H221" s="10"/>
      <c r="I221" s="10"/>
    </row>
    <row r="222" spans="1:9" x14ac:dyDescent="0.2">
      <c r="A222" s="10">
        <v>19352</v>
      </c>
      <c r="B222" s="11">
        <v>42450</v>
      </c>
      <c r="C222" s="12">
        <v>10</v>
      </c>
      <c r="D222" s="12">
        <v>0.76</v>
      </c>
      <c r="E222" s="17"/>
      <c r="H222" s="12"/>
      <c r="I222" s="10"/>
    </row>
    <row r="223" spans="1:9" x14ac:dyDescent="0.2">
      <c r="A223" s="10">
        <v>19353</v>
      </c>
      <c r="B223" s="11">
        <v>42450</v>
      </c>
      <c r="C223" s="12">
        <v>126.65</v>
      </c>
      <c r="D223" s="12">
        <v>9.65</v>
      </c>
      <c r="E223" s="17"/>
      <c r="H223" s="12"/>
      <c r="I223" s="10"/>
    </row>
    <row r="224" spans="1:9" x14ac:dyDescent="0.2">
      <c r="A224" s="10">
        <v>19354</v>
      </c>
      <c r="B224" s="11">
        <v>42450</v>
      </c>
      <c r="C224" s="12">
        <v>340.99</v>
      </c>
      <c r="D224" s="12">
        <v>25.99</v>
      </c>
      <c r="E224" s="15" t="s">
        <v>21</v>
      </c>
      <c r="F224" s="21"/>
      <c r="G224" s="22"/>
      <c r="H224" s="10"/>
      <c r="I224" s="10"/>
    </row>
    <row r="225" spans="1:9" x14ac:dyDescent="0.2">
      <c r="A225" s="10">
        <v>19355</v>
      </c>
      <c r="B225" s="11">
        <v>42450</v>
      </c>
      <c r="C225" s="12">
        <v>18.399999999999999</v>
      </c>
      <c r="D225" s="12">
        <v>1.4</v>
      </c>
      <c r="E225" s="15" t="s">
        <v>7</v>
      </c>
      <c r="H225" s="10"/>
      <c r="I225" s="10"/>
    </row>
    <row r="226" spans="1:9" x14ac:dyDescent="0.2">
      <c r="A226" s="10">
        <v>19356</v>
      </c>
      <c r="B226" s="11">
        <v>42450</v>
      </c>
      <c r="C226" s="12">
        <v>15.05</v>
      </c>
      <c r="D226" s="12">
        <v>1.1499999999999999</v>
      </c>
      <c r="E226" s="17"/>
      <c r="H226" s="12"/>
      <c r="I226" s="10"/>
    </row>
    <row r="227" spans="1:9" x14ac:dyDescent="0.2">
      <c r="A227" s="10">
        <v>19357</v>
      </c>
      <c r="B227" s="11">
        <v>42450</v>
      </c>
      <c r="C227" s="12">
        <v>15</v>
      </c>
      <c r="D227" s="12">
        <v>1.1399999999999999</v>
      </c>
      <c r="E227" s="17"/>
      <c r="F227" s="18"/>
      <c r="G227" s="19"/>
      <c r="H227" s="12"/>
      <c r="I227" s="10"/>
    </row>
    <row r="228" spans="1:9" x14ac:dyDescent="0.2">
      <c r="A228" s="10">
        <v>19358</v>
      </c>
      <c r="B228" s="11">
        <v>42450</v>
      </c>
      <c r="C228" s="12">
        <v>108</v>
      </c>
      <c r="D228" s="12">
        <v>8.23</v>
      </c>
      <c r="E228" s="15" t="s">
        <v>11</v>
      </c>
      <c r="F228" s="21"/>
      <c r="G228" s="22"/>
      <c r="H228" s="10"/>
      <c r="I228" s="10"/>
    </row>
    <row r="229" spans="1:9" x14ac:dyDescent="0.2">
      <c r="A229" s="10">
        <v>19359</v>
      </c>
      <c r="B229" s="11">
        <v>42450</v>
      </c>
      <c r="C229" s="12">
        <v>70</v>
      </c>
      <c r="D229" s="12"/>
      <c r="E229" s="13" t="s">
        <v>596</v>
      </c>
      <c r="H229" s="12"/>
      <c r="I229" s="10"/>
    </row>
    <row r="230" spans="1:9" x14ac:dyDescent="0.2">
      <c r="A230" s="10">
        <v>19360</v>
      </c>
      <c r="B230" s="11">
        <v>42450</v>
      </c>
      <c r="C230" s="12">
        <v>164.54</v>
      </c>
      <c r="D230" s="12">
        <v>12.54</v>
      </c>
      <c r="E230" s="15" t="s">
        <v>21</v>
      </c>
      <c r="F230" s="20">
        <f>C220+C221+C225+C228+C229+71.52+C196</f>
        <v>577.5200000000001</v>
      </c>
      <c r="G230" s="20">
        <v>566.01</v>
      </c>
      <c r="H230" s="10"/>
      <c r="I230" s="10"/>
    </row>
    <row r="231" spans="1:9" x14ac:dyDescent="0.2">
      <c r="A231" s="10">
        <v>19361</v>
      </c>
      <c r="B231" s="11">
        <v>42451</v>
      </c>
      <c r="C231" s="12">
        <v>454.65</v>
      </c>
      <c r="D231" s="12">
        <v>34.65</v>
      </c>
      <c r="E231" s="15" t="s">
        <v>7</v>
      </c>
      <c r="F231" s="21"/>
      <c r="G231" s="22"/>
      <c r="H231" s="10"/>
      <c r="I231" s="10"/>
    </row>
    <row r="232" spans="1:9" x14ac:dyDescent="0.2">
      <c r="A232" s="10">
        <v>19362</v>
      </c>
      <c r="B232" s="11">
        <v>42451</v>
      </c>
      <c r="C232" s="12">
        <v>10</v>
      </c>
      <c r="D232" s="12">
        <v>0.76</v>
      </c>
      <c r="E232" s="13"/>
      <c r="F232" s="18"/>
      <c r="G232" s="19"/>
      <c r="H232" s="12"/>
      <c r="I232" s="10"/>
    </row>
    <row r="233" spans="1:9" x14ac:dyDescent="0.2">
      <c r="A233" s="10">
        <v>19363</v>
      </c>
      <c r="B233" s="11">
        <v>42451</v>
      </c>
      <c r="C233" s="12">
        <v>21.65</v>
      </c>
      <c r="D233" s="12">
        <v>1.65</v>
      </c>
      <c r="E233" s="15" t="s">
        <v>11</v>
      </c>
      <c r="H233" s="10"/>
      <c r="I233" s="10"/>
    </row>
    <row r="234" spans="1:9" x14ac:dyDescent="0.2">
      <c r="A234" s="10">
        <v>19364</v>
      </c>
      <c r="B234" s="11">
        <v>42451</v>
      </c>
      <c r="C234" s="12">
        <v>99.15</v>
      </c>
      <c r="D234" s="12"/>
      <c r="E234" s="15" t="s">
        <v>441</v>
      </c>
      <c r="H234" s="10"/>
      <c r="I234" s="10"/>
    </row>
    <row r="235" spans="1:9" x14ac:dyDescent="0.2">
      <c r="A235" s="10">
        <v>19365</v>
      </c>
      <c r="B235" s="11">
        <v>42451</v>
      </c>
      <c r="C235" s="12">
        <v>133.15</v>
      </c>
      <c r="D235" s="12">
        <v>10.15</v>
      </c>
      <c r="E235" s="15" t="s">
        <v>21</v>
      </c>
      <c r="F235" s="21"/>
      <c r="G235" s="22"/>
      <c r="H235" s="10"/>
      <c r="I235" s="10"/>
    </row>
    <row r="236" spans="1:9" x14ac:dyDescent="0.2">
      <c r="A236" s="10">
        <v>19366</v>
      </c>
      <c r="B236" s="11">
        <v>42451</v>
      </c>
      <c r="C236" s="12">
        <v>349</v>
      </c>
      <c r="D236" s="12"/>
      <c r="E236" s="15" t="s">
        <v>519</v>
      </c>
      <c r="F236" s="21"/>
      <c r="G236" s="22"/>
      <c r="H236" s="10"/>
      <c r="I236" s="10"/>
    </row>
    <row r="237" spans="1:9" x14ac:dyDescent="0.2">
      <c r="A237" s="10">
        <v>19367</v>
      </c>
      <c r="B237" s="11">
        <v>42451</v>
      </c>
      <c r="C237" s="12">
        <v>447.07</v>
      </c>
      <c r="D237" s="12">
        <v>34.07</v>
      </c>
      <c r="E237" s="15" t="s">
        <v>7</v>
      </c>
      <c r="H237" s="10"/>
      <c r="I237" s="10"/>
    </row>
    <row r="238" spans="1:9" x14ac:dyDescent="0.2">
      <c r="A238" s="10">
        <v>19368</v>
      </c>
      <c r="B238" s="11">
        <v>42451</v>
      </c>
      <c r="C238" s="12">
        <v>11.91</v>
      </c>
      <c r="D238" s="12">
        <v>0.91</v>
      </c>
      <c r="E238" s="17"/>
      <c r="H238" s="12"/>
      <c r="I238" s="10"/>
    </row>
    <row r="239" spans="1:9" x14ac:dyDescent="0.2">
      <c r="A239" s="10">
        <v>19369</v>
      </c>
      <c r="B239" s="11">
        <v>42451</v>
      </c>
      <c r="C239" s="12">
        <v>140.72999999999999</v>
      </c>
      <c r="D239" s="12">
        <v>10.73</v>
      </c>
      <c r="E239" s="17"/>
      <c r="F239" s="18"/>
      <c r="G239" s="19"/>
      <c r="H239" s="12"/>
      <c r="I239" s="10"/>
    </row>
    <row r="240" spans="1:9" x14ac:dyDescent="0.2">
      <c r="A240" s="10">
        <v>19370</v>
      </c>
      <c r="B240" s="11">
        <v>42451</v>
      </c>
      <c r="C240" s="12">
        <v>113.66</v>
      </c>
      <c r="D240" s="12">
        <v>8.66</v>
      </c>
      <c r="E240" s="17"/>
      <c r="F240" s="20">
        <f>+C233+C231+C236+C237</f>
        <v>1272.3699999999999</v>
      </c>
      <c r="G240" s="20">
        <v>1262.3599999999999</v>
      </c>
      <c r="H240" s="12"/>
      <c r="I240" s="10"/>
    </row>
    <row r="241" spans="1:9" x14ac:dyDescent="0.2">
      <c r="A241" s="10">
        <v>19371</v>
      </c>
      <c r="B241" s="11">
        <v>42452</v>
      </c>
      <c r="C241" s="12">
        <v>54.13</v>
      </c>
      <c r="D241" s="12">
        <v>4.13</v>
      </c>
      <c r="E241" s="15" t="s">
        <v>11</v>
      </c>
      <c r="F241" s="21"/>
      <c r="G241" s="22"/>
      <c r="H241" s="10"/>
      <c r="I241" s="10"/>
    </row>
    <row r="242" spans="1:9" x14ac:dyDescent="0.2">
      <c r="A242" s="10">
        <v>19372</v>
      </c>
      <c r="B242" s="11">
        <v>42452</v>
      </c>
      <c r="C242" s="12">
        <v>43.3</v>
      </c>
      <c r="D242" s="12">
        <v>3.3</v>
      </c>
      <c r="E242" s="15" t="s">
        <v>7</v>
      </c>
      <c r="F242" s="21"/>
      <c r="G242" s="22"/>
      <c r="H242" s="10"/>
      <c r="I242" s="10"/>
    </row>
    <row r="243" spans="1:9" x14ac:dyDescent="0.2">
      <c r="A243" s="10">
        <v>19373</v>
      </c>
      <c r="B243" s="11">
        <v>42452</v>
      </c>
      <c r="C243" s="12">
        <v>60.62</v>
      </c>
      <c r="D243" s="12">
        <v>4.62</v>
      </c>
      <c r="E243" s="15" t="s">
        <v>11</v>
      </c>
      <c r="F243" s="21"/>
      <c r="G243" s="22"/>
      <c r="H243" s="10"/>
      <c r="I243" s="10"/>
    </row>
    <row r="244" spans="1:9" x14ac:dyDescent="0.2">
      <c r="A244" s="10">
        <v>19374</v>
      </c>
      <c r="B244" s="11">
        <v>42452</v>
      </c>
      <c r="C244" s="12">
        <v>19</v>
      </c>
      <c r="D244" s="12">
        <v>1.45</v>
      </c>
      <c r="E244" s="17"/>
      <c r="F244" s="18"/>
      <c r="G244" s="19"/>
      <c r="H244" s="12"/>
      <c r="I244" s="10"/>
    </row>
    <row r="245" spans="1:9" x14ac:dyDescent="0.2">
      <c r="A245" s="10">
        <v>19375</v>
      </c>
      <c r="B245" s="11">
        <v>42452</v>
      </c>
      <c r="C245" s="12">
        <v>23.82</v>
      </c>
      <c r="D245" s="12">
        <v>1.82</v>
      </c>
      <c r="E245" s="17"/>
      <c r="F245" s="18"/>
      <c r="G245" s="19"/>
      <c r="H245" s="12"/>
      <c r="I245" s="10"/>
    </row>
    <row r="246" spans="1:9" x14ac:dyDescent="0.2">
      <c r="A246" s="10">
        <v>19376</v>
      </c>
      <c r="B246" s="11">
        <v>42452</v>
      </c>
      <c r="C246" s="12">
        <v>39.78</v>
      </c>
      <c r="D246" s="12">
        <v>3.03</v>
      </c>
      <c r="E246" s="17"/>
      <c r="H246" s="12"/>
      <c r="I246" s="10"/>
    </row>
    <row r="247" spans="1:9" x14ac:dyDescent="0.2">
      <c r="A247" s="10">
        <v>19377</v>
      </c>
      <c r="B247" s="11">
        <v>42452</v>
      </c>
      <c r="C247" s="12">
        <v>25.93</v>
      </c>
      <c r="D247" s="12">
        <v>1.98</v>
      </c>
      <c r="E247" s="15" t="s">
        <v>11</v>
      </c>
      <c r="H247" s="10"/>
      <c r="I247" s="10"/>
    </row>
    <row r="248" spans="1:9" x14ac:dyDescent="0.2">
      <c r="A248" s="10">
        <v>19378</v>
      </c>
      <c r="B248" s="11">
        <v>42452</v>
      </c>
      <c r="C248" s="12">
        <v>412.43</v>
      </c>
      <c r="D248" s="12">
        <v>31.43</v>
      </c>
      <c r="E248" s="15" t="s">
        <v>11</v>
      </c>
      <c r="F248" s="21"/>
      <c r="G248" s="22"/>
      <c r="H248" s="10"/>
      <c r="I248" s="10"/>
    </row>
    <row r="249" spans="1:9" x14ac:dyDescent="0.2">
      <c r="A249" s="10">
        <v>19379</v>
      </c>
      <c r="B249" s="11">
        <v>42452</v>
      </c>
      <c r="C249" s="12">
        <v>125</v>
      </c>
      <c r="D249" s="12">
        <v>9.5299999999999994</v>
      </c>
      <c r="E249" s="15" t="s">
        <v>7</v>
      </c>
      <c r="F249" s="21"/>
      <c r="G249" s="22"/>
      <c r="H249" s="10"/>
      <c r="I249" s="10"/>
    </row>
    <row r="250" spans="1:9" x14ac:dyDescent="0.2">
      <c r="A250" s="10">
        <v>19380</v>
      </c>
      <c r="B250" s="11">
        <v>42452</v>
      </c>
      <c r="C250" s="12">
        <v>11.85</v>
      </c>
      <c r="D250" s="12">
        <v>0.9</v>
      </c>
      <c r="E250" s="17"/>
      <c r="H250" s="12"/>
      <c r="I250" s="10"/>
    </row>
    <row r="251" spans="1:9" x14ac:dyDescent="0.2">
      <c r="A251" s="10">
        <v>19381</v>
      </c>
      <c r="B251" s="11">
        <v>42452</v>
      </c>
      <c r="C251" s="12">
        <v>8</v>
      </c>
      <c r="D251" s="12"/>
      <c r="E251" s="15" t="s">
        <v>417</v>
      </c>
      <c r="H251" s="10"/>
      <c r="I251" s="10"/>
    </row>
    <row r="252" spans="1:9" x14ac:dyDescent="0.2">
      <c r="A252" s="10">
        <v>19382</v>
      </c>
      <c r="B252" s="11">
        <v>42452</v>
      </c>
      <c r="C252" s="12">
        <v>14.02</v>
      </c>
      <c r="D252" s="12">
        <v>1.07</v>
      </c>
      <c r="E252" s="15" t="s">
        <v>11</v>
      </c>
      <c r="F252" s="21"/>
      <c r="G252" s="22"/>
      <c r="H252" s="10"/>
      <c r="I252" s="10"/>
    </row>
    <row r="253" spans="1:9" x14ac:dyDescent="0.2">
      <c r="A253" s="10">
        <v>19383</v>
      </c>
      <c r="B253" s="11">
        <v>42452</v>
      </c>
      <c r="C253" s="12">
        <v>10.83</v>
      </c>
      <c r="D253" s="12">
        <v>0.83</v>
      </c>
      <c r="E253" s="15" t="s">
        <v>7</v>
      </c>
      <c r="H253" s="10"/>
      <c r="I253" s="10"/>
    </row>
    <row r="254" spans="1:9" x14ac:dyDescent="0.2">
      <c r="A254" s="10">
        <v>19384</v>
      </c>
      <c r="B254" s="11">
        <v>42452</v>
      </c>
      <c r="C254" s="12">
        <v>69.28</v>
      </c>
      <c r="D254" s="12">
        <v>5.28</v>
      </c>
      <c r="E254" s="15"/>
      <c r="F254" s="21"/>
      <c r="G254" s="22"/>
      <c r="H254" s="10"/>
      <c r="I254" s="10"/>
    </row>
    <row r="255" spans="1:9" x14ac:dyDescent="0.2">
      <c r="A255" s="10">
        <v>19385</v>
      </c>
      <c r="B255" s="11">
        <v>42452</v>
      </c>
      <c r="C255" s="12">
        <v>296.06</v>
      </c>
      <c r="D255" s="12">
        <v>22.56</v>
      </c>
      <c r="E255" s="17"/>
      <c r="F255" s="20">
        <f>+C242+C243+C241+C247+C249+C252+C251+C253+C248+194</f>
        <v>948.26</v>
      </c>
      <c r="G255" s="20">
        <v>936.68</v>
      </c>
      <c r="H255" s="12"/>
      <c r="I255" s="10"/>
    </row>
    <row r="256" spans="1:9" x14ac:dyDescent="0.2">
      <c r="A256" s="10">
        <v>19386</v>
      </c>
      <c r="B256" s="11">
        <v>42453</v>
      </c>
      <c r="C256" s="185">
        <v>184.03</v>
      </c>
      <c r="D256" s="12">
        <v>14.03</v>
      </c>
      <c r="E256" s="15" t="s">
        <v>11</v>
      </c>
      <c r="H256" s="10"/>
      <c r="I256" s="10"/>
    </row>
    <row r="257" spans="1:9" x14ac:dyDescent="0.2">
      <c r="A257" s="10">
        <v>19387</v>
      </c>
      <c r="B257" s="11">
        <v>42453</v>
      </c>
      <c r="C257" s="185">
        <v>223</v>
      </c>
      <c r="D257" s="12">
        <v>17</v>
      </c>
      <c r="E257" s="17"/>
      <c r="F257" s="18"/>
      <c r="G257" s="19"/>
      <c r="H257" s="12"/>
      <c r="I257" s="10"/>
    </row>
    <row r="258" spans="1:9" x14ac:dyDescent="0.2">
      <c r="A258" s="10">
        <v>19388</v>
      </c>
      <c r="B258" s="11">
        <v>42453</v>
      </c>
      <c r="C258" s="185">
        <v>268.45999999999998</v>
      </c>
      <c r="D258" s="12">
        <v>20.46</v>
      </c>
      <c r="E258" s="15" t="s">
        <v>7</v>
      </c>
      <c r="H258" s="10"/>
      <c r="I258" s="10"/>
    </row>
    <row r="259" spans="1:9" x14ac:dyDescent="0.2">
      <c r="A259" s="10">
        <v>19389</v>
      </c>
      <c r="B259" s="11">
        <v>42453</v>
      </c>
      <c r="C259" s="185">
        <v>16</v>
      </c>
      <c r="D259" s="12"/>
      <c r="E259" s="15" t="s">
        <v>607</v>
      </c>
      <c r="H259" s="10"/>
      <c r="I259" s="10"/>
    </row>
    <row r="260" spans="1:9" x14ac:dyDescent="0.2">
      <c r="A260" s="10">
        <v>19390</v>
      </c>
      <c r="B260" s="11">
        <v>42453</v>
      </c>
      <c r="C260" s="185">
        <v>64.84</v>
      </c>
      <c r="D260" s="12">
        <v>4.9400000000000004</v>
      </c>
      <c r="E260" s="15" t="s">
        <v>11</v>
      </c>
      <c r="H260" s="10"/>
      <c r="I260" s="10"/>
    </row>
    <row r="261" spans="1:9" x14ac:dyDescent="0.2">
      <c r="A261" s="10">
        <v>19391</v>
      </c>
      <c r="B261" s="11">
        <v>42453</v>
      </c>
      <c r="C261" s="185">
        <v>7.5200000000000005</v>
      </c>
      <c r="D261" s="12">
        <v>0.56999999999999995</v>
      </c>
      <c r="E261" s="17"/>
      <c r="F261" s="18"/>
      <c r="G261" s="19"/>
      <c r="H261" s="12"/>
      <c r="I261" s="10"/>
    </row>
    <row r="262" spans="1:9" x14ac:dyDescent="0.2">
      <c r="A262" s="10">
        <v>19392</v>
      </c>
      <c r="B262" s="11">
        <v>42453</v>
      </c>
      <c r="C262" s="185">
        <v>150</v>
      </c>
      <c r="D262" s="12">
        <v>11.43</v>
      </c>
      <c r="E262" s="15" t="s">
        <v>11</v>
      </c>
      <c r="F262" s="21"/>
      <c r="G262" s="22"/>
      <c r="H262" s="10"/>
      <c r="I262" s="10"/>
    </row>
    <row r="263" spans="1:9" x14ac:dyDescent="0.2">
      <c r="A263" s="10">
        <v>19393</v>
      </c>
      <c r="B263" s="11">
        <v>42453</v>
      </c>
      <c r="C263" s="185">
        <v>53.04</v>
      </c>
      <c r="D263" s="12">
        <v>4.04</v>
      </c>
      <c r="E263" s="15" t="s">
        <v>11</v>
      </c>
      <c r="F263" s="21"/>
      <c r="G263" s="22"/>
      <c r="H263" s="10"/>
      <c r="I263" s="10"/>
    </row>
    <row r="264" spans="1:9" x14ac:dyDescent="0.2">
      <c r="A264" s="10">
        <v>19394</v>
      </c>
      <c r="B264" s="11">
        <v>42453</v>
      </c>
      <c r="C264" s="185">
        <v>50</v>
      </c>
      <c r="D264" s="12">
        <v>3.81</v>
      </c>
      <c r="E264" s="17"/>
      <c r="F264" s="18"/>
      <c r="G264" s="19"/>
      <c r="H264" s="12"/>
      <c r="I264" s="10"/>
    </row>
    <row r="265" spans="1:9" x14ac:dyDescent="0.2">
      <c r="A265" s="10">
        <v>19395</v>
      </c>
      <c r="B265" s="11">
        <v>42453</v>
      </c>
      <c r="C265" s="185">
        <v>270</v>
      </c>
      <c r="D265" s="12">
        <v>20.58</v>
      </c>
      <c r="E265" s="17"/>
      <c r="H265" s="12"/>
      <c r="I265" s="10"/>
    </row>
    <row r="266" spans="1:9" x14ac:dyDescent="0.2">
      <c r="A266" s="10">
        <v>19396</v>
      </c>
      <c r="B266" s="11">
        <v>42453</v>
      </c>
      <c r="C266" s="185">
        <v>147.97999999999999</v>
      </c>
      <c r="D266" s="12">
        <v>11.28</v>
      </c>
      <c r="E266" s="17"/>
      <c r="F266" s="20">
        <f>68.46+C259+C260+C262+C263+47.98+C216</f>
        <v>752.67000000000007</v>
      </c>
      <c r="G266" s="20">
        <v>737.46</v>
      </c>
      <c r="H266" s="12"/>
      <c r="I266" s="10"/>
    </row>
    <row r="267" spans="1:9" x14ac:dyDescent="0.2">
      <c r="A267" s="10">
        <v>19397</v>
      </c>
      <c r="B267" s="11">
        <v>42454</v>
      </c>
      <c r="C267" s="185">
        <v>218.12</v>
      </c>
      <c r="D267" s="12">
        <v>16.62</v>
      </c>
      <c r="E267" s="15" t="s">
        <v>608</v>
      </c>
      <c r="F267" s="21"/>
      <c r="G267" s="22"/>
      <c r="H267" s="10"/>
      <c r="I267" s="10"/>
    </row>
    <row r="268" spans="1:9" x14ac:dyDescent="0.2">
      <c r="A268" s="10">
        <v>19398</v>
      </c>
      <c r="B268" s="11">
        <v>42454</v>
      </c>
      <c r="C268" s="185">
        <v>40</v>
      </c>
      <c r="D268" s="12">
        <v>3.05</v>
      </c>
      <c r="E268" s="17"/>
      <c r="H268" s="12"/>
      <c r="I268" s="10"/>
    </row>
    <row r="269" spans="1:9" x14ac:dyDescent="0.2">
      <c r="A269" s="10">
        <v>19399</v>
      </c>
      <c r="B269" s="11">
        <v>42454</v>
      </c>
      <c r="C269" s="185">
        <v>90.95</v>
      </c>
      <c r="D269" s="12"/>
      <c r="E269" s="17"/>
      <c r="F269" s="18"/>
      <c r="G269" s="19"/>
      <c r="H269" s="12"/>
      <c r="I269" s="10"/>
    </row>
    <row r="270" spans="1:9" x14ac:dyDescent="0.2">
      <c r="A270" s="10">
        <v>19400</v>
      </c>
      <c r="B270" s="11">
        <v>42454</v>
      </c>
      <c r="C270" s="185">
        <v>50</v>
      </c>
      <c r="D270" s="12">
        <v>3.81</v>
      </c>
      <c r="E270" s="17"/>
      <c r="F270" s="18"/>
      <c r="G270" s="19"/>
      <c r="H270" s="12"/>
      <c r="I270" s="10"/>
    </row>
    <row r="271" spans="1:9" x14ac:dyDescent="0.2">
      <c r="A271" s="10">
        <v>19401</v>
      </c>
      <c r="B271" s="11">
        <v>42454</v>
      </c>
      <c r="C271" s="185">
        <v>65</v>
      </c>
      <c r="D271" s="12">
        <v>4.95</v>
      </c>
      <c r="E271" s="17"/>
      <c r="F271" s="18"/>
      <c r="G271" s="19"/>
      <c r="H271" s="12"/>
      <c r="I271" s="10"/>
    </row>
    <row r="272" spans="1:9" x14ac:dyDescent="0.2">
      <c r="A272" s="10">
        <v>19402</v>
      </c>
      <c r="B272" s="11">
        <v>42454</v>
      </c>
      <c r="C272" s="185">
        <v>110</v>
      </c>
      <c r="D272" s="12">
        <v>8.3800000000000008</v>
      </c>
      <c r="E272" s="15" t="s">
        <v>26</v>
      </c>
      <c r="F272" s="21"/>
      <c r="G272" s="22"/>
      <c r="H272" s="10"/>
      <c r="I272" s="10"/>
    </row>
    <row r="273" spans="1:9" x14ac:dyDescent="0.2">
      <c r="A273" s="10">
        <v>19403</v>
      </c>
      <c r="B273" s="11">
        <v>42454</v>
      </c>
      <c r="C273" s="185">
        <v>74.69</v>
      </c>
      <c r="D273" s="12">
        <v>5.69</v>
      </c>
      <c r="E273" s="13"/>
      <c r="F273" s="18"/>
      <c r="G273" s="19"/>
      <c r="H273" s="12"/>
      <c r="I273" s="10"/>
    </row>
    <row r="274" spans="1:9" x14ac:dyDescent="0.2">
      <c r="A274" s="10">
        <v>19404</v>
      </c>
      <c r="B274" s="11">
        <v>42454</v>
      </c>
      <c r="C274" s="185">
        <v>62.79</v>
      </c>
      <c r="D274" s="12">
        <v>4.79</v>
      </c>
      <c r="E274" s="15" t="s">
        <v>11</v>
      </c>
      <c r="H274" s="10"/>
      <c r="I274" s="10"/>
    </row>
    <row r="275" spans="1:9" x14ac:dyDescent="0.2">
      <c r="A275" s="10">
        <v>19405</v>
      </c>
      <c r="B275" s="11">
        <v>42454</v>
      </c>
      <c r="C275" s="185">
        <v>2.7</v>
      </c>
      <c r="D275" s="12">
        <v>0.21</v>
      </c>
      <c r="E275" s="17"/>
      <c r="F275" s="18"/>
      <c r="G275" s="19"/>
      <c r="H275" s="12"/>
      <c r="I275" s="10"/>
    </row>
    <row r="276" spans="1:9" x14ac:dyDescent="0.2">
      <c r="A276" s="10">
        <v>19406</v>
      </c>
      <c r="B276" s="11">
        <v>42454</v>
      </c>
      <c r="C276" s="185">
        <v>35.61</v>
      </c>
      <c r="D276" s="12">
        <v>2.71</v>
      </c>
      <c r="E276" s="17"/>
      <c r="F276" s="18"/>
      <c r="G276" s="19"/>
      <c r="H276" s="12"/>
      <c r="I276" s="10"/>
    </row>
    <row r="277" spans="1:9" x14ac:dyDescent="0.2">
      <c r="A277" s="10">
        <v>19407</v>
      </c>
      <c r="B277" s="11">
        <v>42454</v>
      </c>
      <c r="C277" s="185">
        <v>15.16</v>
      </c>
      <c r="D277" s="12">
        <v>1.1599999999999999</v>
      </c>
      <c r="E277" s="17"/>
      <c r="F277" s="18"/>
      <c r="G277" s="19"/>
      <c r="H277" s="12"/>
      <c r="I277" s="10"/>
    </row>
    <row r="278" spans="1:9" x14ac:dyDescent="0.2">
      <c r="A278" s="10">
        <v>19408</v>
      </c>
      <c r="B278" s="11">
        <v>42454</v>
      </c>
      <c r="C278" s="185">
        <v>75</v>
      </c>
      <c r="D278" s="12">
        <v>5.72</v>
      </c>
      <c r="E278" s="17"/>
      <c r="H278" s="12"/>
      <c r="I278" s="10"/>
    </row>
    <row r="279" spans="1:9" x14ac:dyDescent="0.2">
      <c r="A279" s="10">
        <v>19409</v>
      </c>
      <c r="B279" s="11">
        <v>42454</v>
      </c>
      <c r="C279" s="185">
        <v>221</v>
      </c>
      <c r="D279" s="12">
        <v>16.84</v>
      </c>
      <c r="E279" s="17"/>
      <c r="F279" s="18"/>
      <c r="G279" s="19"/>
      <c r="H279" s="12"/>
      <c r="I279" s="10"/>
    </row>
    <row r="280" spans="1:9" x14ac:dyDescent="0.2">
      <c r="A280" s="10">
        <v>19410</v>
      </c>
      <c r="B280" s="11">
        <v>42454</v>
      </c>
      <c r="C280" s="185">
        <v>17.32</v>
      </c>
      <c r="D280" s="12">
        <v>1.32</v>
      </c>
      <c r="E280" s="15" t="s">
        <v>11</v>
      </c>
      <c r="H280" s="10"/>
      <c r="I280" s="10"/>
    </row>
    <row r="281" spans="1:9" x14ac:dyDescent="0.2">
      <c r="A281" s="10">
        <v>19411</v>
      </c>
      <c r="B281" s="11">
        <v>42454</v>
      </c>
      <c r="C281" s="185">
        <v>85.52</v>
      </c>
      <c r="D281" s="12">
        <v>6.52</v>
      </c>
      <c r="E281" s="15" t="s">
        <v>11</v>
      </c>
      <c r="F281" s="21"/>
      <c r="G281" s="22"/>
      <c r="H281" s="10"/>
      <c r="I281" s="10"/>
    </row>
    <row r="282" spans="1:9" x14ac:dyDescent="0.2">
      <c r="A282" s="10">
        <v>19412</v>
      </c>
      <c r="B282" s="11">
        <v>42454</v>
      </c>
      <c r="C282" s="185">
        <v>114.75</v>
      </c>
      <c r="D282" s="12">
        <v>8.75</v>
      </c>
      <c r="E282" s="15" t="s">
        <v>11</v>
      </c>
      <c r="H282" s="10"/>
      <c r="I282" s="10"/>
    </row>
    <row r="283" spans="1:9" x14ac:dyDescent="0.2">
      <c r="A283" s="10">
        <v>19413</v>
      </c>
      <c r="B283" s="11">
        <v>42454</v>
      </c>
      <c r="C283" s="185">
        <v>31.39</v>
      </c>
      <c r="D283" s="12">
        <v>2.39</v>
      </c>
      <c r="E283" s="15" t="s">
        <v>7</v>
      </c>
      <c r="H283" s="10"/>
      <c r="I283" s="10"/>
    </row>
    <row r="284" spans="1:9" x14ac:dyDescent="0.2">
      <c r="A284" s="10">
        <v>19414</v>
      </c>
      <c r="B284" s="11">
        <v>42454</v>
      </c>
      <c r="C284" s="185">
        <v>154.80000000000001</v>
      </c>
      <c r="D284" s="12">
        <v>11.8</v>
      </c>
      <c r="E284" s="15" t="s">
        <v>609</v>
      </c>
      <c r="H284" s="10"/>
      <c r="I284" s="10"/>
    </row>
    <row r="285" spans="1:9" x14ac:dyDescent="0.2">
      <c r="A285" s="10">
        <v>19415</v>
      </c>
      <c r="B285" s="11">
        <v>42454</v>
      </c>
      <c r="C285" s="185">
        <v>2171</v>
      </c>
      <c r="D285" s="12"/>
      <c r="E285" s="15" t="s">
        <v>441</v>
      </c>
      <c r="H285" s="10"/>
      <c r="I285" s="10"/>
    </row>
    <row r="286" spans="1:9" x14ac:dyDescent="0.2">
      <c r="A286" s="10">
        <v>19416</v>
      </c>
      <c r="B286" s="11">
        <v>42454</v>
      </c>
      <c r="C286" s="185">
        <v>37.89</v>
      </c>
      <c r="D286" s="12">
        <v>2.89</v>
      </c>
      <c r="E286" s="15" t="s">
        <v>13</v>
      </c>
      <c r="F286" s="20">
        <f>110+340.99+C274+C280+C281+C282+C283+C284+C286</f>
        <v>955.44999999999993</v>
      </c>
      <c r="G286" s="20">
        <v>939.49</v>
      </c>
      <c r="H286" s="10"/>
      <c r="I286" s="10"/>
    </row>
    <row r="287" spans="1:9" x14ac:dyDescent="0.2">
      <c r="A287" s="10">
        <v>19417</v>
      </c>
      <c r="B287" s="11">
        <v>42455</v>
      </c>
      <c r="C287" s="185">
        <v>48.71</v>
      </c>
      <c r="D287" s="12">
        <v>3.71</v>
      </c>
      <c r="E287" s="15" t="s">
        <v>11</v>
      </c>
      <c r="F287" s="21"/>
      <c r="G287" s="22"/>
      <c r="H287" s="10"/>
      <c r="I287" s="10"/>
    </row>
    <row r="288" spans="1:9" x14ac:dyDescent="0.2">
      <c r="A288" s="10">
        <v>19418</v>
      </c>
      <c r="B288" s="11">
        <v>42455</v>
      </c>
      <c r="C288" s="185">
        <v>10.83</v>
      </c>
      <c r="D288" s="12">
        <v>0.83</v>
      </c>
      <c r="E288" s="15" t="s">
        <v>11</v>
      </c>
      <c r="H288" s="10"/>
      <c r="I288" s="10"/>
    </row>
    <row r="289" spans="1:9" x14ac:dyDescent="0.2">
      <c r="A289" s="10">
        <v>19419</v>
      </c>
      <c r="B289" s="11">
        <v>42455</v>
      </c>
      <c r="C289" s="185">
        <v>10</v>
      </c>
      <c r="D289" s="12">
        <v>0.76</v>
      </c>
      <c r="E289" s="17"/>
      <c r="F289" s="18"/>
      <c r="G289" s="19"/>
      <c r="H289" s="12"/>
      <c r="I289" s="10"/>
    </row>
    <row r="290" spans="1:9" x14ac:dyDescent="0.2">
      <c r="A290" s="10">
        <v>19420</v>
      </c>
      <c r="B290" s="11">
        <v>42455</v>
      </c>
      <c r="C290" s="185">
        <v>60.62</v>
      </c>
      <c r="D290" s="12">
        <v>4.62</v>
      </c>
      <c r="E290" s="15" t="s">
        <v>11</v>
      </c>
      <c r="H290" s="10"/>
      <c r="I290" s="10"/>
    </row>
    <row r="291" spans="1:9" x14ac:dyDescent="0.2">
      <c r="A291" s="10">
        <v>19421</v>
      </c>
      <c r="B291" s="11">
        <v>42455</v>
      </c>
      <c r="C291" s="185">
        <v>92.01</v>
      </c>
      <c r="D291" s="12">
        <v>7.01</v>
      </c>
      <c r="E291" s="15"/>
      <c r="F291" s="21"/>
      <c r="G291" s="22"/>
      <c r="H291" s="10"/>
      <c r="I291" s="10"/>
    </row>
    <row r="292" spans="1:9" x14ac:dyDescent="0.2">
      <c r="A292" s="10">
        <v>19422</v>
      </c>
      <c r="B292" s="11">
        <v>42455</v>
      </c>
      <c r="C292" s="185">
        <v>21.65</v>
      </c>
      <c r="D292" s="12">
        <v>1.65</v>
      </c>
      <c r="E292" s="13"/>
      <c r="F292" s="18"/>
      <c r="G292" s="19"/>
      <c r="H292" s="12"/>
      <c r="I292" s="10"/>
    </row>
    <row r="293" spans="1:9" x14ac:dyDescent="0.2">
      <c r="A293" s="10">
        <v>19423</v>
      </c>
      <c r="B293" s="11">
        <v>42455</v>
      </c>
      <c r="C293" s="185">
        <v>51.96</v>
      </c>
      <c r="D293" s="12">
        <v>3.96</v>
      </c>
      <c r="E293" s="15" t="s">
        <v>11</v>
      </c>
      <c r="H293" s="10"/>
      <c r="I293" s="10"/>
    </row>
    <row r="294" spans="1:9" x14ac:dyDescent="0.2">
      <c r="A294" s="10">
        <v>19424</v>
      </c>
      <c r="B294" s="11">
        <v>42455</v>
      </c>
      <c r="C294" s="185">
        <v>41.14</v>
      </c>
      <c r="D294" s="12">
        <v>3.14</v>
      </c>
      <c r="E294" s="17"/>
      <c r="F294" s="18"/>
      <c r="G294" s="19"/>
      <c r="H294" s="12"/>
      <c r="I294" s="10"/>
    </row>
    <row r="295" spans="1:9" x14ac:dyDescent="0.2">
      <c r="A295" s="10">
        <v>19425</v>
      </c>
      <c r="B295" s="11">
        <v>42455</v>
      </c>
      <c r="C295" s="185">
        <v>195.93</v>
      </c>
      <c r="D295" s="12">
        <v>14.93</v>
      </c>
      <c r="E295" s="15" t="s">
        <v>11</v>
      </c>
      <c r="F295" s="21"/>
      <c r="G295" s="22"/>
      <c r="H295" s="10"/>
      <c r="I295" s="10"/>
    </row>
    <row r="296" spans="1:9" x14ac:dyDescent="0.2">
      <c r="A296" s="10">
        <v>19426</v>
      </c>
      <c r="B296" s="11">
        <v>42455</v>
      </c>
      <c r="C296" s="185">
        <v>11.8</v>
      </c>
      <c r="D296" s="12">
        <v>0.9</v>
      </c>
      <c r="E296" s="17"/>
      <c r="H296" s="12"/>
      <c r="I296" s="10"/>
    </row>
    <row r="297" spans="1:9" x14ac:dyDescent="0.2">
      <c r="A297" s="10">
        <v>19427</v>
      </c>
      <c r="B297" s="11">
        <v>42455</v>
      </c>
      <c r="C297" s="185">
        <v>16.18</v>
      </c>
      <c r="D297" s="12">
        <v>1.23</v>
      </c>
      <c r="E297" s="15" t="s">
        <v>13</v>
      </c>
      <c r="F297" s="21"/>
      <c r="G297" s="22"/>
      <c r="H297" s="10"/>
      <c r="I297" s="10"/>
    </row>
    <row r="298" spans="1:9" x14ac:dyDescent="0.2">
      <c r="A298" s="10">
        <v>19428</v>
      </c>
      <c r="B298" s="11">
        <v>42455</v>
      </c>
      <c r="C298" s="185">
        <v>37.89</v>
      </c>
      <c r="D298" s="12">
        <v>2.89</v>
      </c>
      <c r="E298" s="15" t="s">
        <v>7</v>
      </c>
      <c r="H298" s="10"/>
      <c r="I298" s="10"/>
    </row>
    <row r="299" spans="1:9" x14ac:dyDescent="0.2">
      <c r="A299" s="10">
        <v>19429</v>
      </c>
      <c r="B299" s="11">
        <v>42455</v>
      </c>
      <c r="C299" s="185">
        <v>117.99999999999999</v>
      </c>
      <c r="D299" s="12">
        <v>8.99</v>
      </c>
      <c r="E299" s="15" t="s">
        <v>533</v>
      </c>
      <c r="F299" s="20">
        <f>+C287+C288+C290+C293+C295+C297+C298+32</f>
        <v>454.12</v>
      </c>
      <c r="G299" s="20">
        <f>418.31+31.12</f>
        <v>449.43</v>
      </c>
      <c r="H299" s="15"/>
      <c r="I299" s="10"/>
    </row>
    <row r="300" spans="1:9" x14ac:dyDescent="0.2">
      <c r="A300" s="10">
        <v>19430</v>
      </c>
      <c r="B300" s="11">
        <v>42457</v>
      </c>
      <c r="C300" s="185">
        <v>32.479999999999997</v>
      </c>
      <c r="D300" s="12">
        <v>2.48</v>
      </c>
      <c r="E300" s="15"/>
      <c r="H300" s="23"/>
      <c r="I300" s="10"/>
    </row>
    <row r="301" spans="1:9" x14ac:dyDescent="0.2">
      <c r="A301" s="10">
        <v>19431</v>
      </c>
      <c r="B301" s="11">
        <v>42457</v>
      </c>
      <c r="C301" s="185">
        <v>16.239999999999998</v>
      </c>
      <c r="D301" s="12">
        <v>1.24</v>
      </c>
      <c r="E301" s="17"/>
      <c r="H301" s="17"/>
      <c r="I301" s="10"/>
    </row>
    <row r="302" spans="1:9" x14ac:dyDescent="0.2">
      <c r="A302" s="10">
        <v>19432</v>
      </c>
      <c r="B302" s="11">
        <v>42457</v>
      </c>
      <c r="C302" s="185">
        <v>56.83</v>
      </c>
      <c r="D302" s="12">
        <v>4.33</v>
      </c>
      <c r="E302" s="15" t="s">
        <v>7</v>
      </c>
      <c r="H302" s="23"/>
      <c r="I302" s="10"/>
    </row>
    <row r="303" spans="1:9" x14ac:dyDescent="0.2">
      <c r="A303" s="10">
        <v>19433</v>
      </c>
      <c r="B303" s="11">
        <v>42457</v>
      </c>
      <c r="C303" s="185">
        <v>302.02</v>
      </c>
      <c r="D303" s="12">
        <v>23.02</v>
      </c>
      <c r="E303" s="15" t="s">
        <v>21</v>
      </c>
      <c r="F303" s="21"/>
      <c r="G303" s="22"/>
      <c r="H303" s="23"/>
      <c r="I303" s="10"/>
    </row>
    <row r="304" spans="1:9" x14ac:dyDescent="0.2">
      <c r="A304" s="10">
        <v>19434</v>
      </c>
      <c r="B304" s="11">
        <v>42457</v>
      </c>
      <c r="C304" s="185">
        <v>13.5</v>
      </c>
      <c r="D304" s="12">
        <v>1.03</v>
      </c>
      <c r="E304" s="17"/>
      <c r="H304" s="17"/>
      <c r="I304" s="10"/>
    </row>
    <row r="305" spans="1:9" x14ac:dyDescent="0.2">
      <c r="A305" s="10">
        <v>19435</v>
      </c>
      <c r="B305" s="11">
        <v>42457</v>
      </c>
      <c r="C305" s="185">
        <v>38</v>
      </c>
      <c r="D305" s="12">
        <v>2.9</v>
      </c>
      <c r="E305" s="17"/>
      <c r="F305" s="18"/>
      <c r="G305" s="19"/>
      <c r="H305" s="17"/>
      <c r="I305" s="10"/>
    </row>
    <row r="306" spans="1:9" x14ac:dyDescent="0.2">
      <c r="A306" s="10">
        <v>19436</v>
      </c>
      <c r="B306" s="11">
        <v>42457</v>
      </c>
      <c r="C306" s="185">
        <v>235.88</v>
      </c>
      <c r="D306" s="12">
        <v>17.98</v>
      </c>
      <c r="E306" s="15" t="s">
        <v>21</v>
      </c>
      <c r="H306" s="23"/>
      <c r="I306" s="10"/>
    </row>
    <row r="307" spans="1:9" x14ac:dyDescent="0.2">
      <c r="A307" s="10">
        <v>19437</v>
      </c>
      <c r="B307" s="11">
        <v>42457</v>
      </c>
      <c r="C307" s="185">
        <v>-3.25</v>
      </c>
      <c r="D307" s="12">
        <v>-0.25</v>
      </c>
      <c r="E307" s="17"/>
      <c r="F307" s="18"/>
      <c r="G307" s="19"/>
      <c r="H307" s="17"/>
      <c r="I307" s="10"/>
    </row>
    <row r="308" spans="1:9" x14ac:dyDescent="0.2">
      <c r="A308" s="10">
        <v>19438</v>
      </c>
      <c r="B308" s="11">
        <v>42457</v>
      </c>
      <c r="C308" s="185">
        <v>184.03</v>
      </c>
      <c r="D308" s="12">
        <v>14.03</v>
      </c>
      <c r="E308" s="15" t="s">
        <v>11</v>
      </c>
      <c r="H308" s="23"/>
      <c r="I308" s="10"/>
    </row>
    <row r="309" spans="1:9" x14ac:dyDescent="0.2">
      <c r="A309" s="10">
        <v>19439</v>
      </c>
      <c r="B309" s="11">
        <v>42457</v>
      </c>
      <c r="C309" s="185">
        <v>249.52</v>
      </c>
      <c r="D309" s="12">
        <v>19.02</v>
      </c>
      <c r="E309" s="15" t="s">
        <v>11</v>
      </c>
      <c r="H309" s="23"/>
      <c r="I309" s="10"/>
    </row>
    <row r="310" spans="1:9" x14ac:dyDescent="0.2">
      <c r="A310" s="10">
        <v>19440</v>
      </c>
      <c r="B310" s="11">
        <v>42457</v>
      </c>
      <c r="C310" s="185">
        <v>43.3</v>
      </c>
      <c r="D310" s="12">
        <v>3.3</v>
      </c>
      <c r="E310" s="15" t="s">
        <v>11</v>
      </c>
      <c r="F310" s="20">
        <f>+C302+C310+C256</f>
        <v>284.15999999999997</v>
      </c>
      <c r="G310" s="20">
        <v>280.42</v>
      </c>
      <c r="H310" s="23"/>
      <c r="I310" s="10"/>
    </row>
    <row r="311" spans="1:9" x14ac:dyDescent="0.2">
      <c r="A311" s="10">
        <v>19441</v>
      </c>
      <c r="B311" s="11">
        <v>42458</v>
      </c>
      <c r="C311" s="185">
        <v>28.15</v>
      </c>
      <c r="D311" s="12">
        <v>2.15</v>
      </c>
      <c r="E311" s="17"/>
      <c r="F311" s="18"/>
      <c r="G311" s="19"/>
      <c r="H311" s="17"/>
      <c r="I311" s="10"/>
    </row>
    <row r="312" spans="1:9" x14ac:dyDescent="0.2">
      <c r="A312" s="10">
        <v>19442</v>
      </c>
      <c r="B312" s="11">
        <v>42458</v>
      </c>
      <c r="C312" s="185">
        <v>1.62</v>
      </c>
      <c r="D312" s="12">
        <v>0.12</v>
      </c>
      <c r="E312" s="17"/>
      <c r="H312" s="17"/>
      <c r="I312" s="10"/>
    </row>
    <row r="313" spans="1:9" x14ac:dyDescent="0.2">
      <c r="A313" s="10">
        <v>19443</v>
      </c>
      <c r="B313" s="11">
        <v>42458</v>
      </c>
      <c r="C313" s="185">
        <v>486.04</v>
      </c>
      <c r="D313" s="12">
        <v>37.04</v>
      </c>
      <c r="E313" s="15" t="s">
        <v>11</v>
      </c>
      <c r="F313" s="21"/>
      <c r="G313" s="22"/>
      <c r="H313" s="23"/>
      <c r="I313" s="10"/>
    </row>
    <row r="314" spans="1:9" x14ac:dyDescent="0.2">
      <c r="A314" s="10">
        <v>19444</v>
      </c>
      <c r="B314" s="11">
        <v>42458</v>
      </c>
      <c r="C314" s="185">
        <v>17.27</v>
      </c>
      <c r="D314" s="12">
        <v>1.32</v>
      </c>
      <c r="E314" s="15" t="s">
        <v>11</v>
      </c>
      <c r="F314" s="21"/>
      <c r="G314" s="22"/>
      <c r="H314" s="23"/>
      <c r="I314" s="10"/>
    </row>
    <row r="315" spans="1:9" x14ac:dyDescent="0.2">
      <c r="A315" s="10">
        <v>19445</v>
      </c>
      <c r="B315" s="11">
        <v>42458</v>
      </c>
      <c r="C315" s="185">
        <v>495.24</v>
      </c>
      <c r="D315" s="12">
        <v>37.74</v>
      </c>
      <c r="E315" s="13" t="s">
        <v>610</v>
      </c>
      <c r="H315" s="17"/>
      <c r="I315" s="10"/>
    </row>
    <row r="316" spans="1:9" x14ac:dyDescent="0.2">
      <c r="A316" s="10">
        <v>19446</v>
      </c>
      <c r="B316" s="11">
        <v>42458</v>
      </c>
      <c r="C316" s="185">
        <v>29.169999999999998</v>
      </c>
      <c r="D316" s="12">
        <v>2.2200000000000002</v>
      </c>
      <c r="E316" s="17"/>
      <c r="F316" s="18"/>
      <c r="G316" s="19"/>
      <c r="H316" s="17"/>
      <c r="I316" s="10"/>
    </row>
    <row r="317" spans="1:9" x14ac:dyDescent="0.2">
      <c r="A317" s="10">
        <v>19447</v>
      </c>
      <c r="B317" s="11">
        <v>42458</v>
      </c>
      <c r="C317" s="185">
        <v>129.9</v>
      </c>
      <c r="D317" s="12">
        <v>9.9</v>
      </c>
      <c r="E317" s="15" t="s">
        <v>611</v>
      </c>
      <c r="H317" s="23"/>
      <c r="I317" s="10"/>
    </row>
    <row r="318" spans="1:9" x14ac:dyDescent="0.2">
      <c r="A318" s="10">
        <v>19448</v>
      </c>
      <c r="B318" s="11">
        <v>42458</v>
      </c>
      <c r="C318" s="185">
        <v>74.69</v>
      </c>
      <c r="D318" s="12">
        <v>5.69</v>
      </c>
      <c r="E318" s="15" t="s">
        <v>11</v>
      </c>
      <c r="H318" s="23"/>
      <c r="I318" s="10"/>
    </row>
    <row r="319" spans="1:9" x14ac:dyDescent="0.2">
      <c r="A319" s="10">
        <v>19449</v>
      </c>
      <c r="B319" s="11">
        <v>42458</v>
      </c>
      <c r="C319" s="185">
        <v>116.79</v>
      </c>
      <c r="D319" s="12"/>
      <c r="E319" s="15" t="s">
        <v>441</v>
      </c>
      <c r="H319" s="23"/>
      <c r="I319" s="10"/>
    </row>
    <row r="320" spans="1:9" x14ac:dyDescent="0.2">
      <c r="A320" s="10">
        <v>19450</v>
      </c>
      <c r="B320" s="11">
        <v>42458</v>
      </c>
      <c r="C320" s="185">
        <v>74.69</v>
      </c>
      <c r="D320" s="12">
        <v>5.69</v>
      </c>
      <c r="E320" s="15" t="s">
        <v>7</v>
      </c>
      <c r="H320" s="23"/>
      <c r="I320" s="10"/>
    </row>
    <row r="321" spans="1:9" x14ac:dyDescent="0.2">
      <c r="A321" s="10">
        <v>19451</v>
      </c>
      <c r="B321" s="11">
        <v>42458</v>
      </c>
      <c r="C321" s="185">
        <v>3.5</v>
      </c>
      <c r="D321" s="12"/>
      <c r="E321" s="15" t="s">
        <v>10</v>
      </c>
      <c r="F321" s="21"/>
      <c r="G321" s="22"/>
      <c r="H321" s="23"/>
      <c r="I321" s="10"/>
    </row>
    <row r="322" spans="1:9" x14ac:dyDescent="0.2">
      <c r="A322" s="10">
        <v>19452</v>
      </c>
      <c r="B322" s="11">
        <v>42458</v>
      </c>
      <c r="C322" s="185">
        <v>11.85</v>
      </c>
      <c r="D322" s="12">
        <v>0.9</v>
      </c>
      <c r="E322" s="17"/>
      <c r="H322" s="17"/>
      <c r="I322" s="10"/>
    </row>
    <row r="323" spans="1:9" x14ac:dyDescent="0.2">
      <c r="A323" s="10">
        <v>19453</v>
      </c>
      <c r="B323" s="11">
        <v>42458</v>
      </c>
      <c r="C323" s="185">
        <v>312</v>
      </c>
      <c r="D323" s="12">
        <v>23.78</v>
      </c>
      <c r="E323" s="15"/>
      <c r="H323" s="23"/>
      <c r="I323" s="10"/>
    </row>
    <row r="324" spans="1:9" x14ac:dyDescent="0.2">
      <c r="A324" s="10">
        <v>19454</v>
      </c>
      <c r="B324" s="11">
        <v>42458</v>
      </c>
      <c r="C324" s="185">
        <v>29.169999999999998</v>
      </c>
      <c r="D324" s="12">
        <v>2.2200000000000002</v>
      </c>
      <c r="E324" s="15" t="s">
        <v>7</v>
      </c>
      <c r="F324" s="20">
        <f>200+C314+C320+C308+C318+C324+97.78</f>
        <v>677.63</v>
      </c>
      <c r="G324" s="20">
        <v>673.05</v>
      </c>
      <c r="H324" s="23"/>
      <c r="I324" s="10"/>
    </row>
    <row r="325" spans="1:9" x14ac:dyDescent="0.2">
      <c r="A325" s="10">
        <v>19455</v>
      </c>
      <c r="B325" s="11">
        <v>42459</v>
      </c>
      <c r="C325" s="185">
        <v>119.08</v>
      </c>
      <c r="D325" s="12">
        <v>9.08</v>
      </c>
      <c r="E325" s="17"/>
      <c r="H325" s="17"/>
      <c r="I325" s="10"/>
    </row>
    <row r="326" spans="1:9" x14ac:dyDescent="0.2">
      <c r="A326" s="10">
        <v>19456</v>
      </c>
      <c r="B326" s="11">
        <v>42459</v>
      </c>
      <c r="C326" s="185">
        <v>257.89</v>
      </c>
      <c r="D326" s="12">
        <v>18.89</v>
      </c>
      <c r="E326" s="15"/>
      <c r="F326" s="21"/>
      <c r="G326" s="22"/>
      <c r="H326" s="23"/>
      <c r="I326" s="10"/>
    </row>
    <row r="327" spans="1:9" x14ac:dyDescent="0.2">
      <c r="A327" s="10">
        <v>19457</v>
      </c>
      <c r="B327" s="11">
        <v>42459</v>
      </c>
      <c r="C327" s="185">
        <v>21.65</v>
      </c>
      <c r="D327" s="12">
        <v>1.65</v>
      </c>
      <c r="E327" s="15" t="s">
        <v>612</v>
      </c>
      <c r="H327" s="23"/>
      <c r="I327" s="10"/>
    </row>
    <row r="328" spans="1:9" x14ac:dyDescent="0.2">
      <c r="A328" s="10">
        <v>19458</v>
      </c>
      <c r="B328" s="11">
        <v>42459</v>
      </c>
      <c r="C328" s="185">
        <v>117.99</v>
      </c>
      <c r="D328" s="12">
        <v>8.99</v>
      </c>
      <c r="E328" s="17"/>
      <c r="F328" s="18"/>
      <c r="G328" s="19"/>
      <c r="H328" s="17"/>
      <c r="I328" s="10"/>
    </row>
    <row r="329" spans="1:9" x14ac:dyDescent="0.2">
      <c r="A329" s="10">
        <v>19459</v>
      </c>
      <c r="B329" s="11">
        <v>42459</v>
      </c>
      <c r="C329" s="185">
        <v>265</v>
      </c>
      <c r="D329" s="12">
        <v>20.2</v>
      </c>
      <c r="E329" s="17"/>
      <c r="F329" s="18"/>
      <c r="G329" s="19"/>
      <c r="H329" s="17"/>
      <c r="I329" s="10"/>
    </row>
    <row r="330" spans="1:9" x14ac:dyDescent="0.2">
      <c r="A330" s="10">
        <v>19460</v>
      </c>
      <c r="B330" s="11">
        <v>42459</v>
      </c>
      <c r="C330" s="185">
        <v>58.46</v>
      </c>
      <c r="D330" s="12">
        <v>4.46</v>
      </c>
      <c r="E330" s="15"/>
      <c r="F330" s="21"/>
      <c r="G330" s="22"/>
      <c r="H330" s="23"/>
      <c r="I330" s="10"/>
    </row>
    <row r="331" spans="1:9" x14ac:dyDescent="0.2">
      <c r="A331" s="10">
        <v>19461</v>
      </c>
      <c r="B331" s="11">
        <v>42459</v>
      </c>
      <c r="C331" s="185">
        <v>3.1</v>
      </c>
      <c r="D331" s="12"/>
      <c r="E331" s="15" t="s">
        <v>280</v>
      </c>
      <c r="H331" s="23"/>
      <c r="I331" s="10"/>
    </row>
    <row r="332" spans="1:9" x14ac:dyDescent="0.2">
      <c r="A332" s="10">
        <v>19462</v>
      </c>
      <c r="B332" s="11">
        <v>42459</v>
      </c>
      <c r="C332" s="185">
        <v>207.56</v>
      </c>
      <c r="D332" s="12">
        <v>15.82</v>
      </c>
      <c r="E332" s="15" t="s">
        <v>11</v>
      </c>
      <c r="H332" s="23"/>
      <c r="I332" s="10"/>
    </row>
    <row r="333" spans="1:9" x14ac:dyDescent="0.2">
      <c r="A333" s="10">
        <v>19463</v>
      </c>
      <c r="B333" s="11">
        <v>42459</v>
      </c>
      <c r="C333" s="185">
        <v>12.99</v>
      </c>
      <c r="D333" s="12">
        <v>0.99</v>
      </c>
      <c r="E333" s="15" t="s">
        <v>11</v>
      </c>
      <c r="F333" s="21"/>
      <c r="G333" s="22"/>
      <c r="H333" s="23"/>
      <c r="I333" s="10"/>
    </row>
    <row r="334" spans="1:9" x14ac:dyDescent="0.2">
      <c r="A334" s="10">
        <v>19464</v>
      </c>
      <c r="B334" s="11">
        <v>42459</v>
      </c>
      <c r="C334" s="185">
        <v>344.02</v>
      </c>
      <c r="D334" s="12">
        <v>26.22</v>
      </c>
      <c r="E334" s="15" t="s">
        <v>11</v>
      </c>
      <c r="F334" s="21"/>
      <c r="G334" s="22"/>
      <c r="H334" s="23"/>
      <c r="I334" s="10"/>
    </row>
    <row r="335" spans="1:9" x14ac:dyDescent="0.2">
      <c r="A335" s="10">
        <v>19465</v>
      </c>
      <c r="B335" s="11">
        <v>42459</v>
      </c>
      <c r="C335" s="185">
        <v>51.96</v>
      </c>
      <c r="D335" s="12">
        <v>3.96</v>
      </c>
      <c r="E335" s="15" t="s">
        <v>613</v>
      </c>
      <c r="F335" s="21"/>
      <c r="G335" s="22"/>
      <c r="H335" s="23"/>
      <c r="I335" s="10"/>
    </row>
    <row r="336" spans="1:9" x14ac:dyDescent="0.2">
      <c r="A336" s="10">
        <v>19466</v>
      </c>
      <c r="B336" s="11">
        <v>42459</v>
      </c>
      <c r="C336" s="185">
        <v>64.900000000000006</v>
      </c>
      <c r="D336" s="12">
        <v>4.95</v>
      </c>
      <c r="E336" s="13"/>
      <c r="F336" s="20">
        <f>+C331+41.2+15.45+C332+C333+C334+7</f>
        <v>631.31999999999994</v>
      </c>
      <c r="G336" s="20">
        <v>622.09</v>
      </c>
      <c r="H336" s="17"/>
      <c r="I336" s="10"/>
    </row>
    <row r="337" spans="1:12" x14ac:dyDescent="0.2">
      <c r="A337" s="10">
        <v>19467</v>
      </c>
      <c r="B337" s="11">
        <v>42460</v>
      </c>
      <c r="C337" s="185">
        <v>40.049999999999997</v>
      </c>
      <c r="D337" s="12">
        <v>3.05</v>
      </c>
      <c r="E337" s="17"/>
      <c r="F337" s="18"/>
      <c r="G337" s="19"/>
      <c r="H337" s="17"/>
      <c r="I337" s="10"/>
    </row>
    <row r="338" spans="1:12" x14ac:dyDescent="0.2">
      <c r="A338" s="10">
        <v>19468</v>
      </c>
      <c r="B338" s="11">
        <v>42460</v>
      </c>
      <c r="C338" s="185">
        <v>308</v>
      </c>
      <c r="D338" s="12">
        <v>23.47</v>
      </c>
      <c r="E338" s="17"/>
      <c r="F338" s="18"/>
      <c r="G338" s="19"/>
      <c r="H338" s="17"/>
      <c r="I338" s="10"/>
    </row>
    <row r="339" spans="1:12" x14ac:dyDescent="0.2">
      <c r="A339" s="10">
        <v>19469</v>
      </c>
      <c r="B339" s="11">
        <v>42460</v>
      </c>
      <c r="C339" s="185">
        <v>27.06</v>
      </c>
      <c r="D339" s="12">
        <v>2.06</v>
      </c>
      <c r="E339" s="15" t="s">
        <v>614</v>
      </c>
      <c r="H339" s="23"/>
      <c r="I339" s="10"/>
    </row>
    <row r="340" spans="1:12" x14ac:dyDescent="0.2">
      <c r="A340" s="10">
        <v>19470</v>
      </c>
      <c r="B340" s="11">
        <v>42460</v>
      </c>
      <c r="C340" s="185">
        <v>0</v>
      </c>
      <c r="D340" s="12">
        <v>0</v>
      </c>
      <c r="E340" s="17"/>
      <c r="F340" s="18"/>
      <c r="G340" s="19"/>
      <c r="H340" s="17"/>
      <c r="I340" s="10"/>
    </row>
    <row r="341" spans="1:12" x14ac:dyDescent="0.2">
      <c r="A341" s="10">
        <v>19471</v>
      </c>
      <c r="B341" s="11">
        <v>42460</v>
      </c>
      <c r="C341" s="185">
        <v>244.65</v>
      </c>
      <c r="D341" s="12">
        <v>18.649999999999999</v>
      </c>
      <c r="E341" s="15" t="s">
        <v>11</v>
      </c>
      <c r="H341" s="23"/>
      <c r="I341" s="10"/>
    </row>
    <row r="342" spans="1:12" x14ac:dyDescent="0.2">
      <c r="A342" s="10">
        <v>19472</v>
      </c>
      <c r="B342" s="11">
        <v>42460</v>
      </c>
      <c r="C342" s="185">
        <v>20</v>
      </c>
      <c r="D342" s="12">
        <v>1.52</v>
      </c>
      <c r="E342" s="17"/>
      <c r="F342" s="18"/>
      <c r="G342" s="19"/>
      <c r="H342" s="17"/>
      <c r="I342" s="10"/>
    </row>
    <row r="343" spans="1:12" x14ac:dyDescent="0.2">
      <c r="A343" s="10">
        <v>19473</v>
      </c>
      <c r="B343" s="11">
        <v>42460</v>
      </c>
      <c r="C343" s="185">
        <v>357.23</v>
      </c>
      <c r="D343" s="12">
        <v>27.23</v>
      </c>
      <c r="E343" s="13" t="s">
        <v>615</v>
      </c>
      <c r="H343" s="17"/>
      <c r="I343" s="10"/>
    </row>
    <row r="344" spans="1:12" x14ac:dyDescent="0.2">
      <c r="A344" s="10">
        <v>19474</v>
      </c>
      <c r="B344" s="11">
        <v>42460</v>
      </c>
      <c r="C344" s="185">
        <v>19</v>
      </c>
      <c r="D344" s="12">
        <v>1.45</v>
      </c>
      <c r="E344" s="15" t="s">
        <v>11</v>
      </c>
      <c r="H344" s="23"/>
      <c r="I344" s="10"/>
    </row>
    <row r="345" spans="1:12" x14ac:dyDescent="0.2">
      <c r="A345" s="10">
        <v>19475</v>
      </c>
      <c r="B345" s="11">
        <v>42460</v>
      </c>
      <c r="C345" s="185">
        <v>97</v>
      </c>
      <c r="D345" s="12"/>
      <c r="E345" s="13" t="s">
        <v>104</v>
      </c>
      <c r="H345" s="17"/>
      <c r="I345" s="10"/>
    </row>
    <row r="346" spans="1:12" x14ac:dyDescent="0.2">
      <c r="A346" s="10">
        <v>19476</v>
      </c>
      <c r="B346" s="11">
        <v>42460</v>
      </c>
      <c r="C346" s="185">
        <v>25.75</v>
      </c>
      <c r="D346" s="12"/>
      <c r="E346" s="13" t="s">
        <v>616</v>
      </c>
      <c r="H346" s="17"/>
      <c r="I346" s="10"/>
    </row>
    <row r="347" spans="1:12" x14ac:dyDescent="0.2">
      <c r="A347" s="10">
        <v>19477</v>
      </c>
      <c r="B347" s="11">
        <v>42460</v>
      </c>
      <c r="C347" s="185">
        <v>28.94</v>
      </c>
      <c r="D347" s="12"/>
      <c r="E347" s="15" t="s">
        <v>617</v>
      </c>
      <c r="F347" s="20">
        <f>200+C341+7.06+97.23+19</f>
        <v>567.93999999999994</v>
      </c>
      <c r="G347" s="20">
        <v>560.71</v>
      </c>
      <c r="H347" s="23"/>
      <c r="I347" s="10"/>
    </row>
    <row r="348" spans="1:12" s="8" customFormat="1" x14ac:dyDescent="0.2">
      <c r="A348" s="1"/>
      <c r="B348" s="6"/>
      <c r="C348" s="7"/>
      <c r="D348" s="6"/>
      <c r="E348" s="6"/>
      <c r="H348" s="209"/>
      <c r="I348" s="210"/>
      <c r="J348" s="210"/>
      <c r="K348" s="210"/>
      <c r="L348" s="211"/>
    </row>
    <row r="349" spans="1:12" x14ac:dyDescent="0.2">
      <c r="E349" s="26"/>
      <c r="H349" s="212"/>
      <c r="I349" s="213">
        <f ca="1">H1-WEEKDAY(H1,3)-7</f>
        <v>43171</v>
      </c>
      <c r="J349" s="214" t="e">
        <f t="shared" ref="J349:J362" ca="1" si="0">SUMIF(INDIRECT(TEXT(I349,"'mmm-yy'")&amp;"!B3:B400"),I349,INDIRECT(TEXT(I349,"'mmm-yy'")&amp;"!C3:C400"))</f>
        <v>#REF!</v>
      </c>
      <c r="K349" s="214"/>
      <c r="L349" s="184"/>
    </row>
    <row r="350" spans="1:12" x14ac:dyDescent="0.2">
      <c r="E350" s="26"/>
      <c r="H350" s="215"/>
      <c r="I350" s="213">
        <f t="shared" ref="I350:I362" ca="1" si="1">I349+1</f>
        <v>43172</v>
      </c>
      <c r="J350" s="214" t="e">
        <f t="shared" ca="1" si="0"/>
        <v>#REF!</v>
      </c>
      <c r="K350" s="214"/>
      <c r="L350" s="184"/>
    </row>
    <row r="351" spans="1:12" x14ac:dyDescent="0.2">
      <c r="E351" s="26"/>
      <c r="H351" s="215"/>
      <c r="I351" s="213">
        <f t="shared" ca="1" si="1"/>
        <v>43173</v>
      </c>
      <c r="J351" s="214" t="e">
        <f t="shared" ca="1" si="0"/>
        <v>#REF!</v>
      </c>
      <c r="K351" s="214"/>
      <c r="L351" s="184"/>
    </row>
    <row r="352" spans="1:12" x14ac:dyDescent="0.2">
      <c r="E352" s="26"/>
      <c r="H352" s="212"/>
      <c r="I352" s="213">
        <f t="shared" ca="1" si="1"/>
        <v>43174</v>
      </c>
      <c r="J352" s="214" t="e">
        <f t="shared" ca="1" si="0"/>
        <v>#REF!</v>
      </c>
      <c r="K352" s="214"/>
      <c r="L352" s="184"/>
    </row>
    <row r="353" spans="5:12" x14ac:dyDescent="0.2">
      <c r="E353" s="26"/>
      <c r="H353" s="212"/>
      <c r="I353" s="213">
        <f t="shared" ca="1" si="1"/>
        <v>43175</v>
      </c>
      <c r="J353" s="214" t="e">
        <f t="shared" ca="1" si="0"/>
        <v>#REF!</v>
      </c>
      <c r="K353" s="214"/>
      <c r="L353" s="184"/>
    </row>
    <row r="354" spans="5:12" x14ac:dyDescent="0.2">
      <c r="E354" s="26"/>
      <c r="H354" s="215"/>
      <c r="I354" s="213">
        <f t="shared" ca="1" si="1"/>
        <v>43176</v>
      </c>
      <c r="J354" s="214" t="e">
        <f t="shared" ca="1" si="0"/>
        <v>#REF!</v>
      </c>
      <c r="K354" s="214"/>
      <c r="L354" s="184"/>
    </row>
    <row r="355" spans="5:12" x14ac:dyDescent="0.2">
      <c r="E355" s="26"/>
      <c r="H355" s="215"/>
      <c r="I355" s="213">
        <f t="shared" ca="1" si="1"/>
        <v>43177</v>
      </c>
      <c r="J355" s="214" t="e">
        <f t="shared" ca="1" si="0"/>
        <v>#REF!</v>
      </c>
      <c r="K355" s="214" t="e">
        <f ca="1">SUM(J349:J355)</f>
        <v>#REF!</v>
      </c>
      <c r="L355" s="184"/>
    </row>
    <row r="356" spans="5:12" x14ac:dyDescent="0.2">
      <c r="E356" s="26"/>
      <c r="H356" s="212"/>
      <c r="I356" s="213">
        <f t="shared" ca="1" si="1"/>
        <v>43178</v>
      </c>
      <c r="J356" s="214" t="e">
        <f t="shared" ca="1" si="0"/>
        <v>#REF!</v>
      </c>
      <c r="K356" s="214"/>
      <c r="L356" s="184"/>
    </row>
    <row r="357" spans="5:12" x14ac:dyDescent="0.2">
      <c r="E357" s="26"/>
      <c r="H357" s="215"/>
      <c r="I357" s="213">
        <f t="shared" ca="1" si="1"/>
        <v>43179</v>
      </c>
      <c r="J357" s="214" t="e">
        <f t="shared" ca="1" si="0"/>
        <v>#REF!</v>
      </c>
      <c r="K357" s="214"/>
      <c r="L357" s="184"/>
    </row>
    <row r="358" spans="5:12" x14ac:dyDescent="0.2">
      <c r="E358" s="26"/>
      <c r="H358" s="215"/>
      <c r="I358" s="213">
        <f t="shared" ca="1" si="1"/>
        <v>43180</v>
      </c>
      <c r="J358" s="214" t="e">
        <f t="shared" ca="1" si="0"/>
        <v>#REF!</v>
      </c>
      <c r="K358" s="214"/>
      <c r="L358" s="184"/>
    </row>
    <row r="359" spans="5:12" x14ac:dyDescent="0.2">
      <c r="E359" s="26"/>
      <c r="H359" s="215"/>
      <c r="I359" s="213">
        <f t="shared" ca="1" si="1"/>
        <v>43181</v>
      </c>
      <c r="J359" s="214" t="e">
        <f t="shared" ca="1" si="0"/>
        <v>#REF!</v>
      </c>
      <c r="K359" s="214"/>
      <c r="L359" s="184"/>
    </row>
    <row r="360" spans="5:12" x14ac:dyDescent="0.2">
      <c r="E360" s="26"/>
      <c r="H360" s="215"/>
      <c r="I360" s="213">
        <f t="shared" ca="1" si="1"/>
        <v>43182</v>
      </c>
      <c r="J360" s="214" t="e">
        <f t="shared" ca="1" si="0"/>
        <v>#REF!</v>
      </c>
      <c r="K360" s="214"/>
      <c r="L360" s="184"/>
    </row>
    <row r="361" spans="5:12" x14ac:dyDescent="0.2">
      <c r="E361" s="26"/>
      <c r="H361" s="215"/>
      <c r="I361" s="213">
        <f t="shared" ca="1" si="1"/>
        <v>43183</v>
      </c>
      <c r="J361" s="214" t="e">
        <f t="shared" ca="1" si="0"/>
        <v>#REF!</v>
      </c>
      <c r="K361" s="214"/>
      <c r="L361" s="184"/>
    </row>
    <row r="362" spans="5:12" x14ac:dyDescent="0.2">
      <c r="E362" s="26"/>
      <c r="H362" s="215"/>
      <c r="I362" s="213">
        <f t="shared" ca="1" si="1"/>
        <v>43184</v>
      </c>
      <c r="J362" s="214" t="e">
        <f t="shared" ca="1" si="0"/>
        <v>#REF!</v>
      </c>
      <c r="K362" s="214" t="e">
        <f ca="1">SUM(J356:J362)</f>
        <v>#REF!</v>
      </c>
      <c r="L362" s="184"/>
    </row>
    <row r="363" spans="5:12" x14ac:dyDescent="0.2">
      <c r="E363" s="26"/>
      <c r="H363" s="216"/>
      <c r="I363" s="217"/>
      <c r="J363" s="214"/>
      <c r="K363" s="217"/>
      <c r="L363" s="184"/>
    </row>
    <row r="364" spans="5:12" x14ac:dyDescent="0.2">
      <c r="E364" s="26"/>
      <c r="H364" s="199"/>
      <c r="I364" s="184"/>
      <c r="J364" s="184"/>
      <c r="K364" s="184"/>
      <c r="L364" s="184"/>
    </row>
    <row r="365" spans="5:12" x14ac:dyDescent="0.2">
      <c r="E365" s="26"/>
      <c r="H365" s="85"/>
      <c r="I365" s="77"/>
      <c r="J365" s="77"/>
      <c r="K365" s="77"/>
      <c r="L365" s="184"/>
    </row>
    <row r="366" spans="5:12" x14ac:dyDescent="0.2">
      <c r="E366" s="26"/>
      <c r="H366" s="199"/>
      <c r="I366" s="184"/>
      <c r="J366" s="184"/>
      <c r="K366" s="184"/>
      <c r="L366" s="184"/>
    </row>
    <row r="367" spans="5:12" x14ac:dyDescent="0.2">
      <c r="E367" s="26"/>
      <c r="H367" s="85"/>
      <c r="I367" s="77"/>
      <c r="J367" s="77"/>
      <c r="K367" s="77"/>
      <c r="L367" s="77"/>
    </row>
    <row r="368" spans="5:12" x14ac:dyDescent="0.2">
      <c r="E368" s="26"/>
      <c r="H368" s="199"/>
      <c r="I368" s="184"/>
      <c r="J368" s="184"/>
      <c r="K368" s="184"/>
      <c r="L368" s="184"/>
    </row>
    <row r="369" spans="5:12" x14ac:dyDescent="0.2">
      <c r="E369" s="26"/>
      <c r="H369" s="199"/>
      <c r="I369" s="184"/>
      <c r="J369" s="184"/>
      <c r="K369" s="184"/>
      <c r="L369" s="184"/>
    </row>
    <row r="370" spans="5:12" x14ac:dyDescent="0.2">
      <c r="E370" s="26"/>
    </row>
    <row r="371" spans="5:12" x14ac:dyDescent="0.2">
      <c r="E371" s="26"/>
    </row>
    <row r="372" spans="5:12" x14ac:dyDescent="0.2">
      <c r="E372" s="26"/>
    </row>
    <row r="373" spans="5:12" x14ac:dyDescent="0.2">
      <c r="E373" s="26"/>
    </row>
    <row r="374" spans="5:12" x14ac:dyDescent="0.2">
      <c r="E374" s="26"/>
    </row>
    <row r="375" spans="5:12" x14ac:dyDescent="0.2">
      <c r="E375" s="26"/>
    </row>
    <row r="376" spans="5:12" x14ac:dyDescent="0.2">
      <c r="E376" s="26"/>
    </row>
    <row r="377" spans="5:12" x14ac:dyDescent="0.2">
      <c r="E377" s="26"/>
    </row>
    <row r="378" spans="5:12" x14ac:dyDescent="0.2">
      <c r="E378" s="26"/>
    </row>
    <row r="379" spans="5:12" x14ac:dyDescent="0.2">
      <c r="E379" s="26"/>
    </row>
    <row r="380" spans="5:12" x14ac:dyDescent="0.2">
      <c r="E380" s="26"/>
    </row>
    <row r="381" spans="5:12" x14ac:dyDescent="0.2">
      <c r="E381" s="26"/>
    </row>
    <row r="382" spans="5:12" x14ac:dyDescent="0.2">
      <c r="E382" s="26"/>
    </row>
    <row r="383" spans="5:12" x14ac:dyDescent="0.2">
      <c r="E383" s="26"/>
    </row>
    <row r="384" spans="5:12" x14ac:dyDescent="0.2">
      <c r="E384" s="26"/>
    </row>
    <row r="385" spans="2:8" x14ac:dyDescent="0.2">
      <c r="E385" s="26"/>
    </row>
    <row r="386" spans="2:8" x14ac:dyDescent="0.2">
      <c r="E386" s="26"/>
    </row>
    <row r="387" spans="2:8" x14ac:dyDescent="0.2">
      <c r="E387" s="26"/>
    </row>
    <row r="388" spans="2:8" s="29" customFormat="1" x14ac:dyDescent="0.2">
      <c r="B388" s="30"/>
      <c r="C388" s="31"/>
      <c r="E388" s="32"/>
      <c r="H388" s="31"/>
    </row>
    <row r="389" spans="2:8" s="29" customFormat="1" x14ac:dyDescent="0.2">
      <c r="B389" s="30"/>
      <c r="C389" s="31"/>
      <c r="E389" s="32"/>
      <c r="H389" s="31"/>
    </row>
    <row r="390" spans="2:8" x14ac:dyDescent="0.2">
      <c r="E390" s="26"/>
    </row>
    <row r="391" spans="2:8" x14ac:dyDescent="0.2">
      <c r="E391" s="26"/>
    </row>
    <row r="392" spans="2:8" x14ac:dyDescent="0.2">
      <c r="E392" s="26"/>
    </row>
    <row r="393" spans="2:8" x14ac:dyDescent="0.2">
      <c r="E393" s="26"/>
    </row>
    <row r="394" spans="2:8" x14ac:dyDescent="0.2">
      <c r="E394" s="26"/>
    </row>
    <row r="395" spans="2:8" x14ac:dyDescent="0.2">
      <c r="E395" s="26"/>
    </row>
    <row r="396" spans="2:8" x14ac:dyDescent="0.2">
      <c r="E396" s="26"/>
    </row>
    <row r="397" spans="2:8" x14ac:dyDescent="0.2">
      <c r="E397" s="26"/>
    </row>
    <row r="398" spans="2:8" x14ac:dyDescent="0.2">
      <c r="E398" s="26"/>
    </row>
    <row r="399" spans="2:8" x14ac:dyDescent="0.2">
      <c r="E399" s="26"/>
    </row>
    <row r="400" spans="2:8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  <row r="3289" spans="5:5" x14ac:dyDescent="0.2">
      <c r="E3289" s="26"/>
    </row>
    <row r="3290" spans="5:5" x14ac:dyDescent="0.2">
      <c r="E3290" s="26"/>
    </row>
    <row r="3291" spans="5:5" x14ac:dyDescent="0.2">
      <c r="E3291" s="26"/>
    </row>
    <row r="3292" spans="5:5" x14ac:dyDescent="0.2">
      <c r="E3292" s="26"/>
    </row>
    <row r="3293" spans="5:5" x14ac:dyDescent="0.2">
      <c r="E3293" s="26"/>
    </row>
    <row r="3294" spans="5:5" x14ac:dyDescent="0.2">
      <c r="E3294" s="26"/>
    </row>
    <row r="3295" spans="5:5" x14ac:dyDescent="0.2">
      <c r="E3295" s="26"/>
    </row>
    <row r="3296" spans="5:5" x14ac:dyDescent="0.2">
      <c r="E3296" s="26"/>
    </row>
    <row r="3297" spans="5:5" x14ac:dyDescent="0.2">
      <c r="E3297" s="26"/>
    </row>
    <row r="3298" spans="5:5" x14ac:dyDescent="0.2">
      <c r="E3298" s="26"/>
    </row>
    <row r="3299" spans="5:5" x14ac:dyDescent="0.2">
      <c r="E3299" s="26"/>
    </row>
    <row r="3300" spans="5:5" x14ac:dyDescent="0.2">
      <c r="E3300" s="26"/>
    </row>
    <row r="3301" spans="5:5" x14ac:dyDescent="0.2">
      <c r="E3301" s="26"/>
    </row>
    <row r="3302" spans="5:5" x14ac:dyDescent="0.2">
      <c r="E3302" s="26"/>
    </row>
    <row r="3303" spans="5:5" x14ac:dyDescent="0.2">
      <c r="E3303" s="26"/>
    </row>
    <row r="3304" spans="5:5" x14ac:dyDescent="0.2">
      <c r="E3304" s="26"/>
    </row>
    <row r="3305" spans="5:5" x14ac:dyDescent="0.2">
      <c r="E3305" s="26"/>
    </row>
    <row r="3306" spans="5:5" x14ac:dyDescent="0.2">
      <c r="E3306" s="26"/>
    </row>
    <row r="3307" spans="5:5" x14ac:dyDescent="0.2">
      <c r="E3307" s="26"/>
    </row>
    <row r="3308" spans="5:5" x14ac:dyDescent="0.2">
      <c r="E3308" s="26"/>
    </row>
    <row r="3309" spans="5:5" x14ac:dyDescent="0.2">
      <c r="E3309" s="26"/>
    </row>
    <row r="3310" spans="5:5" x14ac:dyDescent="0.2">
      <c r="E3310" s="26"/>
    </row>
    <row r="3311" spans="5:5" x14ac:dyDescent="0.2">
      <c r="E3311" s="26"/>
    </row>
    <row r="3312" spans="5:5" x14ac:dyDescent="0.2">
      <c r="E3312" s="26"/>
    </row>
    <row r="3313" spans="5:5" x14ac:dyDescent="0.2">
      <c r="E3313" s="26"/>
    </row>
    <row r="3314" spans="5:5" x14ac:dyDescent="0.2">
      <c r="E3314" s="26"/>
    </row>
    <row r="3315" spans="5:5" x14ac:dyDescent="0.2">
      <c r="E3315" s="26"/>
    </row>
    <row r="3316" spans="5:5" x14ac:dyDescent="0.2">
      <c r="E3316" s="26"/>
    </row>
    <row r="3317" spans="5:5" x14ac:dyDescent="0.2">
      <c r="E3317" s="26"/>
    </row>
    <row r="3318" spans="5:5" x14ac:dyDescent="0.2">
      <c r="E3318" s="26"/>
    </row>
    <row r="3319" spans="5:5" x14ac:dyDescent="0.2">
      <c r="E3319" s="26"/>
    </row>
    <row r="3320" spans="5:5" x14ac:dyDescent="0.2">
      <c r="E3320" s="26"/>
    </row>
    <row r="3321" spans="5:5" x14ac:dyDescent="0.2">
      <c r="E3321" s="26"/>
    </row>
    <row r="3322" spans="5:5" x14ac:dyDescent="0.2">
      <c r="E3322" s="26"/>
    </row>
    <row r="3323" spans="5:5" x14ac:dyDescent="0.2">
      <c r="E3323" s="26"/>
    </row>
    <row r="3324" spans="5:5" x14ac:dyDescent="0.2">
      <c r="E3324" s="26"/>
    </row>
    <row r="3325" spans="5:5" x14ac:dyDescent="0.2">
      <c r="E3325" s="26"/>
    </row>
    <row r="3326" spans="5:5" x14ac:dyDescent="0.2">
      <c r="E3326" s="26"/>
    </row>
    <row r="3327" spans="5:5" x14ac:dyDescent="0.2">
      <c r="E3327" s="26"/>
    </row>
    <row r="3328" spans="5:5" x14ac:dyDescent="0.2">
      <c r="E3328" s="26"/>
    </row>
    <row r="3329" spans="5:5" x14ac:dyDescent="0.2">
      <c r="E3329" s="26"/>
    </row>
    <row r="3330" spans="5:5" x14ac:dyDescent="0.2">
      <c r="E3330" s="26"/>
    </row>
    <row r="3331" spans="5:5" x14ac:dyDescent="0.2">
      <c r="E3331" s="26"/>
    </row>
    <row r="3332" spans="5:5" x14ac:dyDescent="0.2">
      <c r="E3332" s="26"/>
    </row>
    <row r="3333" spans="5:5" x14ac:dyDescent="0.2">
      <c r="E3333" s="26"/>
    </row>
    <row r="3334" spans="5:5" x14ac:dyDescent="0.2">
      <c r="E3334" s="26"/>
    </row>
    <row r="3335" spans="5:5" x14ac:dyDescent="0.2">
      <c r="E3335" s="26"/>
    </row>
    <row r="3336" spans="5:5" x14ac:dyDescent="0.2">
      <c r="E3336" s="26"/>
    </row>
    <row r="3337" spans="5:5" x14ac:dyDescent="0.2">
      <c r="E3337" s="26"/>
    </row>
    <row r="3338" spans="5:5" x14ac:dyDescent="0.2">
      <c r="E3338" s="26"/>
    </row>
    <row r="3339" spans="5:5" x14ac:dyDescent="0.2">
      <c r="E3339" s="26"/>
    </row>
    <row r="3340" spans="5:5" x14ac:dyDescent="0.2">
      <c r="E3340" s="26"/>
    </row>
    <row r="3341" spans="5:5" x14ac:dyDescent="0.2">
      <c r="E3341" s="26"/>
    </row>
    <row r="3342" spans="5:5" x14ac:dyDescent="0.2">
      <c r="E3342" s="26"/>
    </row>
    <row r="3343" spans="5:5" x14ac:dyDescent="0.2">
      <c r="E3343" s="26"/>
    </row>
    <row r="3344" spans="5:5" x14ac:dyDescent="0.2">
      <c r="E3344" s="26"/>
    </row>
    <row r="3345" spans="5:5" x14ac:dyDescent="0.2">
      <c r="E3345" s="26"/>
    </row>
    <row r="3346" spans="5:5" x14ac:dyDescent="0.2">
      <c r="E3346" s="26"/>
    </row>
    <row r="3347" spans="5:5" x14ac:dyDescent="0.2">
      <c r="E3347" s="26"/>
    </row>
    <row r="3348" spans="5:5" x14ac:dyDescent="0.2">
      <c r="E3348" s="26"/>
    </row>
    <row r="3349" spans="5:5" x14ac:dyDescent="0.2">
      <c r="E3349" s="26"/>
    </row>
    <row r="3350" spans="5:5" x14ac:dyDescent="0.2">
      <c r="E3350" s="26"/>
    </row>
    <row r="3351" spans="5:5" x14ac:dyDescent="0.2">
      <c r="E3351" s="26"/>
    </row>
    <row r="3352" spans="5:5" x14ac:dyDescent="0.2">
      <c r="E3352" s="26"/>
    </row>
    <row r="3353" spans="5:5" x14ac:dyDescent="0.2">
      <c r="E3353" s="26"/>
    </row>
    <row r="3354" spans="5:5" x14ac:dyDescent="0.2">
      <c r="E3354" s="26"/>
    </row>
    <row r="3355" spans="5:5" x14ac:dyDescent="0.2">
      <c r="E3355" s="26"/>
    </row>
    <row r="3356" spans="5:5" x14ac:dyDescent="0.2">
      <c r="E3356" s="26"/>
    </row>
    <row r="3357" spans="5:5" x14ac:dyDescent="0.2">
      <c r="E3357" s="26"/>
    </row>
    <row r="3358" spans="5:5" x14ac:dyDescent="0.2">
      <c r="E3358" s="26"/>
    </row>
    <row r="3359" spans="5:5" x14ac:dyDescent="0.2">
      <c r="E3359" s="26"/>
    </row>
    <row r="3360" spans="5:5" x14ac:dyDescent="0.2">
      <c r="E3360" s="26"/>
    </row>
    <row r="3361" spans="5:5" x14ac:dyDescent="0.2">
      <c r="E3361" s="26"/>
    </row>
    <row r="3362" spans="5:5" x14ac:dyDescent="0.2">
      <c r="E3362" s="26"/>
    </row>
    <row r="3363" spans="5:5" x14ac:dyDescent="0.2">
      <c r="E3363" s="26"/>
    </row>
    <row r="3364" spans="5:5" x14ac:dyDescent="0.2">
      <c r="E3364" s="2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3336"/>
  <sheetViews>
    <sheetView topLeftCell="A261" workbookViewId="0">
      <selection activeCell="A309" sqref="A309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SUM(C3:C519)</f>
        <v>34584.19249999999</v>
      </c>
      <c r="D1" s="3">
        <f>SUM(D3:D518)</f>
        <v>2360.7225000000003</v>
      </c>
      <c r="F1" s="166">
        <f>SUM(F3:F2142)</f>
        <v>17763.572499999998</v>
      </c>
      <c r="G1" s="166">
        <f>SUM(G3:G2142)</f>
        <v>19011.496201999995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19478</v>
      </c>
      <c r="B3" s="11">
        <v>42461</v>
      </c>
      <c r="C3" s="12">
        <v>161.29</v>
      </c>
      <c r="D3" s="12">
        <v>12.29</v>
      </c>
      <c r="E3" s="15" t="s">
        <v>21</v>
      </c>
      <c r="F3" s="10"/>
      <c r="G3" s="10"/>
      <c r="H3" s="10"/>
      <c r="I3" s="10"/>
    </row>
    <row r="4" spans="1:10" x14ac:dyDescent="0.2">
      <c r="A4" s="10">
        <v>19479</v>
      </c>
      <c r="B4" s="11">
        <v>42461</v>
      </c>
      <c r="C4" s="12">
        <v>324.75</v>
      </c>
      <c r="D4" s="12">
        <v>24.75</v>
      </c>
      <c r="E4" s="15" t="s">
        <v>7</v>
      </c>
      <c r="F4" s="10"/>
      <c r="G4" s="10"/>
      <c r="H4" s="10"/>
      <c r="I4" s="10"/>
    </row>
    <row r="5" spans="1:10" x14ac:dyDescent="0.2">
      <c r="A5" s="10">
        <v>19480</v>
      </c>
      <c r="B5" s="11">
        <v>42461</v>
      </c>
      <c r="C5" s="12">
        <v>145.33000000000001</v>
      </c>
      <c r="D5" s="12">
        <v>11.08</v>
      </c>
      <c r="E5" s="15" t="s">
        <v>11</v>
      </c>
      <c r="F5" s="10"/>
      <c r="G5" s="10"/>
      <c r="H5" s="10"/>
      <c r="I5" s="10"/>
    </row>
    <row r="6" spans="1:10" x14ac:dyDescent="0.2">
      <c r="A6" s="10">
        <v>19481</v>
      </c>
      <c r="B6" s="11">
        <v>42461</v>
      </c>
      <c r="C6" s="12">
        <v>227.32999999999998</v>
      </c>
      <c r="D6" s="12">
        <v>17.329999999999998</v>
      </c>
      <c r="E6" s="13" t="s">
        <v>618</v>
      </c>
      <c r="I6" s="10"/>
    </row>
    <row r="7" spans="1:10" x14ac:dyDescent="0.2">
      <c r="A7" s="10">
        <v>19482</v>
      </c>
      <c r="B7" s="11">
        <v>42461</v>
      </c>
      <c r="C7" s="12">
        <v>159.66999999999999</v>
      </c>
      <c r="D7" s="12">
        <v>12.17</v>
      </c>
      <c r="E7" s="17"/>
      <c r="I7" s="10"/>
    </row>
    <row r="8" spans="1:10" x14ac:dyDescent="0.2">
      <c r="A8" s="10">
        <v>19483</v>
      </c>
      <c r="B8" s="11">
        <v>42461</v>
      </c>
      <c r="C8" s="12">
        <v>295</v>
      </c>
      <c r="D8" s="12"/>
      <c r="E8" s="15" t="s">
        <v>25</v>
      </c>
      <c r="F8" s="21"/>
      <c r="G8" s="22"/>
      <c r="H8" s="23"/>
      <c r="I8" s="10"/>
    </row>
    <row r="9" spans="1:10" x14ac:dyDescent="0.2">
      <c r="A9" s="10">
        <v>19484</v>
      </c>
      <c r="B9" s="11">
        <v>42461</v>
      </c>
      <c r="C9" s="12">
        <v>28.15</v>
      </c>
      <c r="D9" s="12">
        <v>2.15</v>
      </c>
      <c r="E9" s="15" t="s">
        <v>11</v>
      </c>
      <c r="F9" s="21"/>
      <c r="G9" s="22"/>
      <c r="H9" s="23"/>
      <c r="I9" s="10"/>
    </row>
    <row r="10" spans="1:10" x14ac:dyDescent="0.2">
      <c r="A10" s="10">
        <v>19485</v>
      </c>
      <c r="B10" s="11">
        <v>42461</v>
      </c>
      <c r="C10" s="12">
        <v>65</v>
      </c>
      <c r="D10" s="12">
        <v>4.95</v>
      </c>
      <c r="E10" s="15" t="s">
        <v>11</v>
      </c>
      <c r="F10" s="21"/>
      <c r="G10" s="22"/>
      <c r="H10" s="23"/>
      <c r="I10" s="10"/>
    </row>
    <row r="11" spans="1:10" x14ac:dyDescent="0.2">
      <c r="A11" s="10">
        <v>19486</v>
      </c>
      <c r="B11" s="11">
        <v>42461</v>
      </c>
      <c r="C11" s="12">
        <v>200</v>
      </c>
      <c r="D11" s="12">
        <v>15.24</v>
      </c>
      <c r="E11" s="17"/>
      <c r="F11" s="115"/>
      <c r="G11" s="115"/>
      <c r="I11" s="10"/>
    </row>
    <row r="12" spans="1:10" x14ac:dyDescent="0.2">
      <c r="A12" s="10">
        <v>19487</v>
      </c>
      <c r="B12" s="11">
        <v>42461</v>
      </c>
      <c r="C12" s="12">
        <v>43.25</v>
      </c>
      <c r="D12" s="12">
        <v>3.3</v>
      </c>
      <c r="E12" s="15" t="s">
        <v>21</v>
      </c>
      <c r="F12" s="21"/>
      <c r="G12" s="22"/>
      <c r="H12" s="23"/>
      <c r="I12" s="10"/>
    </row>
    <row r="13" spans="1:10" x14ac:dyDescent="0.2">
      <c r="A13" s="10">
        <v>19488</v>
      </c>
      <c r="B13" s="11">
        <v>42461</v>
      </c>
      <c r="C13" s="12">
        <v>166.71</v>
      </c>
      <c r="D13" s="12">
        <v>12.71</v>
      </c>
      <c r="E13" s="15" t="s">
        <v>21</v>
      </c>
      <c r="F13" s="21"/>
      <c r="G13" s="22"/>
      <c r="H13" s="23"/>
      <c r="I13" s="10"/>
    </row>
    <row r="14" spans="1:10" x14ac:dyDescent="0.2">
      <c r="A14" s="10">
        <v>19489</v>
      </c>
      <c r="B14" s="11">
        <v>42461</v>
      </c>
      <c r="C14" s="12">
        <v>6</v>
      </c>
      <c r="D14" s="12"/>
      <c r="E14" s="13" t="s">
        <v>71</v>
      </c>
      <c r="I14" s="10"/>
    </row>
    <row r="15" spans="1:10" x14ac:dyDescent="0.2">
      <c r="A15" s="10">
        <v>19490</v>
      </c>
      <c r="B15" s="11">
        <v>42461</v>
      </c>
      <c r="C15" s="12">
        <v>167.79</v>
      </c>
      <c r="D15" s="12">
        <v>12.79</v>
      </c>
      <c r="E15" s="15" t="s">
        <v>619</v>
      </c>
      <c r="I15" s="10"/>
    </row>
    <row r="16" spans="1:10" x14ac:dyDescent="0.2">
      <c r="A16" s="10">
        <v>19491</v>
      </c>
      <c r="B16" s="11">
        <v>42461</v>
      </c>
      <c r="C16" s="12">
        <v>112.03999999999999</v>
      </c>
      <c r="D16" s="12">
        <v>8.5399999999999991</v>
      </c>
      <c r="E16" s="17"/>
      <c r="F16" s="20">
        <f>+C3+C4+C5+C9+C10+249.52+295.74</f>
        <v>1269.78</v>
      </c>
      <c r="G16" s="20">
        <f>962.31+287.12</f>
        <v>1249.4299999999998</v>
      </c>
      <c r="H16" s="13"/>
      <c r="I16" s="10"/>
    </row>
    <row r="17" spans="1:9" x14ac:dyDescent="0.2">
      <c r="A17" s="10">
        <v>19492</v>
      </c>
      <c r="B17" s="11">
        <v>42462</v>
      </c>
      <c r="C17" s="12">
        <v>64.95</v>
      </c>
      <c r="D17" s="12">
        <v>4.95</v>
      </c>
      <c r="E17" s="15" t="s">
        <v>11</v>
      </c>
      <c r="F17" s="21"/>
      <c r="G17" s="22"/>
      <c r="H17" s="23"/>
      <c r="I17" s="10"/>
    </row>
    <row r="18" spans="1:9" x14ac:dyDescent="0.2">
      <c r="A18" s="10">
        <v>19493</v>
      </c>
      <c r="B18" s="11">
        <v>42462</v>
      </c>
      <c r="C18" s="12">
        <v>135.17000000000002</v>
      </c>
      <c r="D18" s="12">
        <v>10.3</v>
      </c>
      <c r="E18" s="15" t="s">
        <v>11</v>
      </c>
      <c r="F18" s="21"/>
      <c r="G18" s="22"/>
      <c r="H18" s="23"/>
      <c r="I18" s="10"/>
    </row>
    <row r="19" spans="1:9" x14ac:dyDescent="0.2">
      <c r="A19" s="10">
        <v>19494</v>
      </c>
      <c r="B19" s="11">
        <v>42462</v>
      </c>
      <c r="C19" s="12">
        <v>58.35</v>
      </c>
      <c r="D19" s="12">
        <v>4.45</v>
      </c>
      <c r="E19" s="15" t="s">
        <v>11</v>
      </c>
      <c r="F19" s="115"/>
      <c r="G19" s="115"/>
      <c r="H19" s="23"/>
      <c r="I19" s="10"/>
    </row>
    <row r="20" spans="1:9" x14ac:dyDescent="0.2">
      <c r="A20" s="10">
        <v>19495</v>
      </c>
      <c r="B20" s="11">
        <v>42462</v>
      </c>
      <c r="C20" s="12">
        <v>106.29</v>
      </c>
      <c r="D20" s="12">
        <v>8.1</v>
      </c>
      <c r="E20" s="17"/>
      <c r="F20" s="18"/>
      <c r="G20" s="19"/>
      <c r="H20" s="17"/>
      <c r="I20" s="10"/>
    </row>
    <row r="21" spans="1:9" x14ac:dyDescent="0.2">
      <c r="A21" s="10">
        <v>19496</v>
      </c>
      <c r="B21" s="11">
        <v>42462</v>
      </c>
      <c r="C21" s="12">
        <v>400</v>
      </c>
      <c r="D21" s="12">
        <v>30.49</v>
      </c>
      <c r="E21" s="13"/>
      <c r="H21" s="17"/>
      <c r="I21" s="10"/>
    </row>
    <row r="22" spans="1:9" x14ac:dyDescent="0.2">
      <c r="A22" s="10">
        <v>19497</v>
      </c>
      <c r="B22" s="11">
        <v>42462</v>
      </c>
      <c r="C22" s="12">
        <v>278.2</v>
      </c>
      <c r="D22" s="12">
        <v>21.2</v>
      </c>
      <c r="E22" s="15" t="s">
        <v>11</v>
      </c>
      <c r="F22" s="21"/>
      <c r="G22" s="22"/>
      <c r="H22" s="23"/>
      <c r="I22" s="10"/>
    </row>
    <row r="23" spans="1:9" x14ac:dyDescent="0.2">
      <c r="A23" s="10">
        <v>19498</v>
      </c>
      <c r="B23" s="11">
        <v>42462</v>
      </c>
      <c r="C23" s="12">
        <v>16.670000000000002</v>
      </c>
      <c r="D23" s="12">
        <v>1.27</v>
      </c>
      <c r="E23" s="17"/>
      <c r="H23" s="17"/>
      <c r="I23" s="10"/>
    </row>
    <row r="24" spans="1:9" x14ac:dyDescent="0.2">
      <c r="A24" s="10">
        <v>19499</v>
      </c>
      <c r="B24" s="11">
        <v>42462</v>
      </c>
      <c r="C24" s="12">
        <v>248.43</v>
      </c>
      <c r="D24" s="12">
        <v>18.93</v>
      </c>
      <c r="E24" s="13" t="s">
        <v>620</v>
      </c>
      <c r="F24" s="115"/>
      <c r="G24" s="115"/>
      <c r="H24" s="17"/>
      <c r="I24" s="10"/>
    </row>
    <row r="25" spans="1:9" x14ac:dyDescent="0.2">
      <c r="A25" s="10">
        <v>19500</v>
      </c>
      <c r="B25" s="11">
        <v>42462</v>
      </c>
      <c r="C25" s="12">
        <v>413.52</v>
      </c>
      <c r="D25" s="12">
        <v>31.52</v>
      </c>
      <c r="E25" s="13" t="s">
        <v>452</v>
      </c>
      <c r="F25" s="18"/>
      <c r="G25" s="19"/>
      <c r="H25" s="17"/>
      <c r="I25" s="10"/>
    </row>
    <row r="26" spans="1:9" x14ac:dyDescent="0.2">
      <c r="A26" s="10">
        <v>19501</v>
      </c>
      <c r="B26" s="11">
        <v>42462</v>
      </c>
      <c r="C26" s="12">
        <v>78</v>
      </c>
      <c r="D26" s="12"/>
      <c r="E26" s="13" t="s">
        <v>279</v>
      </c>
      <c r="F26" s="20">
        <f>+C17+C18+C19+C22</f>
        <v>536.67000000000007</v>
      </c>
      <c r="G26" s="20">
        <v>532.62</v>
      </c>
      <c r="H26" s="17"/>
      <c r="I26" s="10"/>
    </row>
    <row r="27" spans="1:9" x14ac:dyDescent="0.2">
      <c r="A27" s="10">
        <v>19502</v>
      </c>
      <c r="B27" s="11">
        <v>42464</v>
      </c>
      <c r="C27" s="12">
        <v>121.19</v>
      </c>
      <c r="D27" s="12">
        <v>9.24</v>
      </c>
      <c r="E27" s="15" t="s">
        <v>11</v>
      </c>
      <c r="F27" s="21"/>
      <c r="G27" s="22"/>
      <c r="H27" s="23"/>
      <c r="I27" s="10"/>
    </row>
    <row r="28" spans="1:9" x14ac:dyDescent="0.2">
      <c r="A28" s="10">
        <v>19503</v>
      </c>
      <c r="B28" s="11">
        <v>42464</v>
      </c>
      <c r="C28" s="12">
        <v>33.56</v>
      </c>
      <c r="D28" s="12">
        <v>2.56</v>
      </c>
      <c r="E28" s="17"/>
      <c r="H28" s="17"/>
      <c r="I28" s="10"/>
    </row>
    <row r="29" spans="1:9" x14ac:dyDescent="0.2">
      <c r="A29" s="10">
        <v>19504</v>
      </c>
      <c r="B29" s="11">
        <v>42464</v>
      </c>
      <c r="C29" s="12">
        <v>148.30000000000001</v>
      </c>
      <c r="D29" s="12">
        <v>11.3</v>
      </c>
      <c r="E29" s="15" t="s">
        <v>11</v>
      </c>
      <c r="F29" s="21"/>
      <c r="G29" s="22"/>
      <c r="H29" s="23"/>
      <c r="I29" s="10"/>
    </row>
    <row r="30" spans="1:9" x14ac:dyDescent="0.2">
      <c r="A30" s="10">
        <v>19505</v>
      </c>
      <c r="B30" s="11">
        <v>42464</v>
      </c>
      <c r="C30" s="12">
        <v>40.049999999999997</v>
      </c>
      <c r="D30" s="12">
        <v>3.05</v>
      </c>
      <c r="E30" s="15" t="s">
        <v>11</v>
      </c>
      <c r="H30" s="23"/>
      <c r="I30" s="10"/>
    </row>
    <row r="31" spans="1:9" x14ac:dyDescent="0.2">
      <c r="A31" s="10">
        <v>19506</v>
      </c>
      <c r="B31" s="11">
        <v>42464</v>
      </c>
      <c r="C31" s="12">
        <v>584.54999999999995</v>
      </c>
      <c r="D31" s="12">
        <v>44.55</v>
      </c>
      <c r="E31" s="15" t="s">
        <v>13</v>
      </c>
      <c r="F31" s="21"/>
      <c r="G31" s="22"/>
      <c r="H31" s="23"/>
      <c r="I31" s="10"/>
    </row>
    <row r="32" spans="1:9" x14ac:dyDescent="0.2">
      <c r="A32" s="10">
        <v>19507</v>
      </c>
      <c r="B32" s="11">
        <v>42464</v>
      </c>
      <c r="C32" s="12">
        <v>114.75</v>
      </c>
      <c r="D32" s="12">
        <v>8.75</v>
      </c>
      <c r="E32" s="15" t="s">
        <v>7</v>
      </c>
      <c r="H32" s="23"/>
      <c r="I32" s="10"/>
    </row>
    <row r="33" spans="1:11" x14ac:dyDescent="0.2">
      <c r="A33" s="10">
        <v>19508</v>
      </c>
      <c r="B33" s="11">
        <v>42464</v>
      </c>
      <c r="C33" s="12">
        <v>50</v>
      </c>
      <c r="D33" s="12">
        <v>3.81</v>
      </c>
      <c r="E33" s="15" t="s">
        <v>11</v>
      </c>
      <c r="F33" s="21"/>
      <c r="G33" s="22"/>
      <c r="H33" s="23"/>
      <c r="I33" s="10"/>
    </row>
    <row r="34" spans="1:11" x14ac:dyDescent="0.2">
      <c r="A34" s="10">
        <v>19509</v>
      </c>
      <c r="B34" s="11">
        <v>42464</v>
      </c>
      <c r="C34" s="12">
        <v>37.830000000000005</v>
      </c>
      <c r="D34" s="12">
        <v>2.88</v>
      </c>
      <c r="E34" s="15" t="s">
        <v>11</v>
      </c>
      <c r="H34" s="23"/>
      <c r="I34" s="10"/>
    </row>
    <row r="35" spans="1:11" x14ac:dyDescent="0.2">
      <c r="A35" s="10">
        <v>19510</v>
      </c>
      <c r="B35" s="11">
        <v>42464</v>
      </c>
      <c r="C35" s="12">
        <v>20</v>
      </c>
      <c r="D35" s="12">
        <v>1.52</v>
      </c>
      <c r="E35" s="17"/>
      <c r="F35" s="18"/>
      <c r="G35" s="19"/>
      <c r="H35" s="17"/>
      <c r="I35" s="10"/>
    </row>
    <row r="36" spans="1:11" x14ac:dyDescent="0.2">
      <c r="A36" s="10">
        <v>19511</v>
      </c>
      <c r="B36" s="11">
        <v>42464</v>
      </c>
      <c r="C36" s="12">
        <v>122.86</v>
      </c>
      <c r="D36" s="12">
        <v>9.36</v>
      </c>
      <c r="E36" s="15" t="s">
        <v>7</v>
      </c>
      <c r="F36" s="20">
        <f>+C27+C29+C30+C31+C32+C33+C34+C36</f>
        <v>1219.5299999999997</v>
      </c>
      <c r="G36" s="20">
        <v>1197.3699999999999</v>
      </c>
      <c r="H36" s="23"/>
      <c r="I36" s="10"/>
    </row>
    <row r="37" spans="1:11" x14ac:dyDescent="0.2">
      <c r="A37" s="10">
        <v>19512</v>
      </c>
      <c r="B37" s="11">
        <v>42465</v>
      </c>
      <c r="C37" s="12">
        <v>27.0625</v>
      </c>
      <c r="D37" s="12">
        <v>2.0625</v>
      </c>
      <c r="E37" s="15" t="s">
        <v>7</v>
      </c>
      <c r="F37" s="115"/>
      <c r="G37" s="115"/>
      <c r="H37" s="23"/>
      <c r="I37" s="10"/>
    </row>
    <row r="38" spans="1:11" x14ac:dyDescent="0.2">
      <c r="A38" s="10">
        <v>19513</v>
      </c>
      <c r="B38" s="11">
        <v>42465</v>
      </c>
      <c r="C38" s="12">
        <v>38.97</v>
      </c>
      <c r="D38" s="12">
        <v>2.97</v>
      </c>
      <c r="E38" s="15" t="s">
        <v>621</v>
      </c>
      <c r="F38" s="21"/>
      <c r="G38" s="22"/>
      <c r="H38" s="23"/>
      <c r="I38" s="10"/>
    </row>
    <row r="39" spans="1:11" x14ac:dyDescent="0.2">
      <c r="A39" s="10">
        <v>19514</v>
      </c>
      <c r="B39" s="11">
        <v>42465</v>
      </c>
      <c r="C39" s="12">
        <v>77.94</v>
      </c>
      <c r="D39" s="12">
        <v>5.94</v>
      </c>
      <c r="E39" s="15" t="s">
        <v>7</v>
      </c>
      <c r="H39" s="23"/>
      <c r="I39" s="10"/>
    </row>
    <row r="40" spans="1:11" x14ac:dyDescent="0.2">
      <c r="A40" s="10">
        <v>19515</v>
      </c>
      <c r="B40" s="11">
        <v>42465</v>
      </c>
      <c r="C40" s="12">
        <v>250.06</v>
      </c>
      <c r="D40" s="12">
        <v>19.059999999999999</v>
      </c>
      <c r="E40" s="15" t="s">
        <v>11</v>
      </c>
      <c r="F40" s="21"/>
      <c r="G40" s="22"/>
      <c r="H40" s="23"/>
      <c r="I40" s="10"/>
    </row>
    <row r="41" spans="1:11" x14ac:dyDescent="0.2">
      <c r="A41" s="10">
        <v>19516</v>
      </c>
      <c r="B41" s="11">
        <v>42465</v>
      </c>
      <c r="C41" s="12">
        <v>90</v>
      </c>
      <c r="D41" s="12"/>
      <c r="E41" s="15" t="s">
        <v>417</v>
      </c>
      <c r="H41" s="23"/>
      <c r="I41" s="10"/>
    </row>
    <row r="42" spans="1:11" x14ac:dyDescent="0.2">
      <c r="A42" s="10">
        <v>19517</v>
      </c>
      <c r="B42" s="11">
        <v>42465</v>
      </c>
      <c r="C42" s="12">
        <v>-10</v>
      </c>
      <c r="D42" s="12"/>
      <c r="E42" s="15" t="s">
        <v>10</v>
      </c>
      <c r="F42" s="10"/>
      <c r="G42" s="10"/>
      <c r="H42" s="188"/>
      <c r="I42" s="188"/>
      <c r="J42" s="184"/>
      <c r="K42" s="184"/>
    </row>
    <row r="43" spans="1:11" x14ac:dyDescent="0.2">
      <c r="A43" s="10">
        <v>19518</v>
      </c>
      <c r="B43" s="11">
        <v>42465</v>
      </c>
      <c r="C43" s="12">
        <v>133.12</v>
      </c>
      <c r="D43" s="12"/>
      <c r="E43" s="15" t="s">
        <v>432</v>
      </c>
      <c r="H43" s="188"/>
      <c r="I43" s="188"/>
      <c r="J43" s="184"/>
      <c r="K43" s="184"/>
    </row>
    <row r="44" spans="1:11" x14ac:dyDescent="0.2">
      <c r="A44" s="10">
        <v>19519</v>
      </c>
      <c r="B44" s="11">
        <v>42465</v>
      </c>
      <c r="C44" s="12">
        <v>86.52000000000001</v>
      </c>
      <c r="D44" s="12">
        <v>6.59</v>
      </c>
      <c r="E44" s="15" t="s">
        <v>21</v>
      </c>
      <c r="F44" s="21"/>
      <c r="G44" s="22"/>
      <c r="H44" s="188"/>
      <c r="I44" s="188"/>
      <c r="J44" s="184"/>
      <c r="K44" s="184"/>
    </row>
    <row r="45" spans="1:11" x14ac:dyDescent="0.2">
      <c r="A45" s="10">
        <v>19520</v>
      </c>
      <c r="B45" s="11">
        <v>42465</v>
      </c>
      <c r="C45" s="12">
        <v>66</v>
      </c>
      <c r="D45" s="12"/>
      <c r="E45" s="15" t="s">
        <v>622</v>
      </c>
      <c r="H45" s="188"/>
      <c r="I45" s="188"/>
      <c r="J45" s="184"/>
      <c r="K45" s="184"/>
    </row>
    <row r="46" spans="1:11" x14ac:dyDescent="0.2">
      <c r="A46" s="10">
        <v>19521</v>
      </c>
      <c r="B46" s="11">
        <v>42465</v>
      </c>
      <c r="C46" s="12">
        <v>77.94</v>
      </c>
      <c r="D46" s="12">
        <v>5.94</v>
      </c>
      <c r="E46" s="15" t="s">
        <v>11</v>
      </c>
      <c r="F46" s="21"/>
      <c r="G46" s="22"/>
      <c r="H46" s="188"/>
      <c r="I46" s="188"/>
      <c r="J46" s="184"/>
      <c r="K46" s="184"/>
    </row>
    <row r="47" spans="1:11" x14ac:dyDescent="0.2">
      <c r="A47" s="10">
        <v>19522</v>
      </c>
      <c r="B47" s="11">
        <v>42465</v>
      </c>
      <c r="C47" s="12">
        <v>28.15</v>
      </c>
      <c r="D47" s="12">
        <v>2.15</v>
      </c>
      <c r="E47" s="17"/>
      <c r="F47" s="18"/>
      <c r="G47" s="19"/>
      <c r="H47" s="191"/>
      <c r="I47" s="188"/>
      <c r="J47" s="184"/>
      <c r="K47" s="184"/>
    </row>
    <row r="48" spans="1:11" x14ac:dyDescent="0.2">
      <c r="A48" s="10">
        <v>19523</v>
      </c>
      <c r="B48" s="11">
        <v>42465</v>
      </c>
      <c r="C48" s="12">
        <v>29.4</v>
      </c>
      <c r="D48" s="12"/>
      <c r="E48" s="13" t="s">
        <v>114</v>
      </c>
      <c r="F48" s="20">
        <f>+C37+C39+C40+C41+3.5</f>
        <v>448.5625</v>
      </c>
      <c r="G48" s="20">
        <v>442.72</v>
      </c>
      <c r="H48" s="191"/>
      <c r="I48" s="188"/>
      <c r="J48" s="184"/>
      <c r="K48" s="184"/>
    </row>
    <row r="49" spans="1:11" x14ac:dyDescent="0.2">
      <c r="A49" s="10">
        <v>19524</v>
      </c>
      <c r="B49" s="11">
        <v>42466</v>
      </c>
      <c r="C49" s="185">
        <v>297.63</v>
      </c>
      <c r="D49" s="12">
        <v>22.68</v>
      </c>
      <c r="E49" s="15" t="s">
        <v>11</v>
      </c>
      <c r="H49" s="188"/>
      <c r="I49" s="188"/>
      <c r="J49" s="184"/>
      <c r="K49" s="184"/>
    </row>
    <row r="50" spans="1:11" x14ac:dyDescent="0.2">
      <c r="A50" s="10">
        <v>19525</v>
      </c>
      <c r="B50" s="11">
        <v>42466</v>
      </c>
      <c r="C50" s="185">
        <v>90.93</v>
      </c>
      <c r="D50" s="12">
        <v>6.93</v>
      </c>
      <c r="E50" s="15" t="s">
        <v>7</v>
      </c>
      <c r="F50" s="21"/>
      <c r="G50" s="22"/>
      <c r="H50" s="188"/>
      <c r="I50" s="188"/>
      <c r="J50" s="184"/>
      <c r="K50" s="184"/>
    </row>
    <row r="51" spans="1:11" x14ac:dyDescent="0.2">
      <c r="A51" s="10">
        <v>19526</v>
      </c>
      <c r="B51" s="11">
        <v>42466</v>
      </c>
      <c r="C51" s="185">
        <v>41.14</v>
      </c>
      <c r="D51" s="12">
        <v>3.14</v>
      </c>
      <c r="E51" s="15" t="s">
        <v>7</v>
      </c>
      <c r="H51" s="188"/>
      <c r="I51" s="188"/>
      <c r="J51" s="184"/>
      <c r="K51" s="184"/>
    </row>
    <row r="52" spans="1:11" x14ac:dyDescent="0.2">
      <c r="A52" s="10">
        <v>19527</v>
      </c>
      <c r="B52" s="11">
        <v>42466</v>
      </c>
      <c r="C52" s="185">
        <v>150</v>
      </c>
      <c r="D52" s="12">
        <v>11.43</v>
      </c>
      <c r="E52" s="17"/>
      <c r="H52" s="191"/>
      <c r="I52" s="188"/>
      <c r="J52" s="184"/>
      <c r="K52" s="184"/>
    </row>
    <row r="53" spans="1:11" x14ac:dyDescent="0.2">
      <c r="A53" s="10">
        <v>19528</v>
      </c>
      <c r="B53" s="11">
        <v>42466</v>
      </c>
      <c r="C53" s="185">
        <v>240.32</v>
      </c>
      <c r="D53" s="12">
        <v>18.32</v>
      </c>
      <c r="E53" s="15" t="s">
        <v>11</v>
      </c>
      <c r="H53" s="188"/>
      <c r="I53" s="188"/>
      <c r="J53" s="184"/>
      <c r="K53" s="184"/>
    </row>
    <row r="54" spans="1:11" x14ac:dyDescent="0.2">
      <c r="A54" s="10">
        <v>19529</v>
      </c>
      <c r="B54" s="11">
        <v>42466</v>
      </c>
      <c r="C54" s="185">
        <v>280.5</v>
      </c>
      <c r="D54" s="12"/>
      <c r="E54" s="15" t="s">
        <v>25</v>
      </c>
      <c r="H54" s="188"/>
      <c r="I54" s="188"/>
      <c r="J54" s="184"/>
      <c r="K54" s="184"/>
    </row>
    <row r="55" spans="1:11" x14ac:dyDescent="0.2">
      <c r="A55" s="10">
        <v>19530</v>
      </c>
      <c r="B55" s="11">
        <v>42466</v>
      </c>
      <c r="C55" s="185">
        <v>16</v>
      </c>
      <c r="D55" s="12"/>
      <c r="E55" s="13" t="s">
        <v>19</v>
      </c>
      <c r="F55" s="18"/>
      <c r="G55" s="19"/>
      <c r="H55" s="191"/>
      <c r="I55" s="188"/>
      <c r="J55" s="184"/>
      <c r="K55" s="184"/>
    </row>
    <row r="56" spans="1:11" x14ac:dyDescent="0.2">
      <c r="A56" s="10">
        <v>19531</v>
      </c>
      <c r="B56" s="11">
        <v>42466</v>
      </c>
      <c r="C56" s="185">
        <v>8</v>
      </c>
      <c r="D56" s="12">
        <v>0.61</v>
      </c>
      <c r="E56" s="17"/>
      <c r="H56" s="191"/>
      <c r="I56" s="188"/>
      <c r="J56" s="184"/>
      <c r="K56" s="184"/>
    </row>
    <row r="57" spans="1:11" x14ac:dyDescent="0.2">
      <c r="A57" s="10">
        <v>19532</v>
      </c>
      <c r="B57" s="11">
        <v>42466</v>
      </c>
      <c r="C57" s="185">
        <v>45.47</v>
      </c>
      <c r="D57" s="12">
        <v>3.47</v>
      </c>
      <c r="E57" s="13" t="s">
        <v>623</v>
      </c>
      <c r="H57" s="191"/>
      <c r="I57" s="188"/>
      <c r="J57" s="184"/>
      <c r="K57" s="184"/>
    </row>
    <row r="58" spans="1:11" x14ac:dyDescent="0.2">
      <c r="A58" s="10">
        <v>19533</v>
      </c>
      <c r="B58" s="11">
        <v>42466</v>
      </c>
      <c r="C58" s="185">
        <v>19.130000000000003</v>
      </c>
      <c r="D58" s="12">
        <v>1.46</v>
      </c>
      <c r="E58" s="13" t="s">
        <v>624</v>
      </c>
      <c r="H58" s="191"/>
      <c r="I58" s="188"/>
      <c r="J58" s="184"/>
      <c r="K58" s="184"/>
    </row>
    <row r="59" spans="1:11" x14ac:dyDescent="0.2">
      <c r="A59" s="10">
        <v>19534</v>
      </c>
      <c r="B59" s="11">
        <v>42466</v>
      </c>
      <c r="C59" s="185">
        <v>37.89</v>
      </c>
      <c r="D59" s="12">
        <v>2.89</v>
      </c>
      <c r="E59" s="15" t="s">
        <v>625</v>
      </c>
      <c r="H59" s="188"/>
      <c r="I59" s="188"/>
      <c r="J59" s="184"/>
      <c r="K59" s="184"/>
    </row>
    <row r="60" spans="1:11" x14ac:dyDescent="0.2">
      <c r="A60" s="10">
        <v>19535</v>
      </c>
      <c r="B60" s="11">
        <v>42466</v>
      </c>
      <c r="C60" s="185">
        <v>109.87</v>
      </c>
      <c r="D60" s="12">
        <v>8.3699999999999992</v>
      </c>
      <c r="E60" s="15" t="s">
        <v>11</v>
      </c>
      <c r="F60" s="21"/>
      <c r="G60" s="22"/>
      <c r="H60" s="188"/>
      <c r="I60" s="188"/>
      <c r="J60" s="184"/>
      <c r="K60" s="184"/>
    </row>
    <row r="61" spans="1:11" x14ac:dyDescent="0.2">
      <c r="A61" s="10">
        <v>19536</v>
      </c>
      <c r="B61" s="11">
        <v>42466</v>
      </c>
      <c r="C61" s="12">
        <v>23</v>
      </c>
      <c r="D61" s="12"/>
      <c r="E61" s="13" t="s">
        <v>114</v>
      </c>
      <c r="F61" s="20">
        <f>150+C50+C51+C53+C60+43.25</f>
        <v>675.51</v>
      </c>
      <c r="G61" s="20">
        <v>666.29</v>
      </c>
      <c r="H61" s="191"/>
      <c r="I61" s="188"/>
      <c r="J61" s="184"/>
      <c r="K61" s="184"/>
    </row>
    <row r="62" spans="1:11" x14ac:dyDescent="0.2">
      <c r="A62" s="10">
        <v>19537</v>
      </c>
      <c r="B62" s="11">
        <v>42467</v>
      </c>
      <c r="C62" s="12">
        <v>162.38</v>
      </c>
      <c r="D62" s="12">
        <v>12.38</v>
      </c>
      <c r="E62" s="17"/>
      <c r="F62" s="18"/>
      <c r="G62" s="19"/>
      <c r="H62" s="191"/>
      <c r="I62" s="188"/>
      <c r="J62" s="184"/>
      <c r="K62" s="184"/>
    </row>
    <row r="63" spans="1:11" x14ac:dyDescent="0.2">
      <c r="A63" s="10">
        <v>19538</v>
      </c>
      <c r="B63" s="11">
        <v>42467</v>
      </c>
      <c r="C63" s="12">
        <v>43.19</v>
      </c>
      <c r="D63" s="12">
        <v>3.29</v>
      </c>
      <c r="E63" s="15" t="s">
        <v>11</v>
      </c>
      <c r="F63" s="21"/>
      <c r="G63" s="22"/>
      <c r="H63" s="188"/>
      <c r="I63" s="188"/>
      <c r="J63" s="184"/>
      <c r="K63" s="184"/>
    </row>
    <row r="64" spans="1:11" x14ac:dyDescent="0.2">
      <c r="A64" s="10">
        <v>19539</v>
      </c>
      <c r="B64" s="11">
        <v>42467</v>
      </c>
      <c r="C64" s="12">
        <v>12.99</v>
      </c>
      <c r="D64" s="12">
        <v>0.99</v>
      </c>
      <c r="E64" s="15" t="s">
        <v>11</v>
      </c>
      <c r="F64" s="21"/>
      <c r="G64" s="22"/>
      <c r="H64" s="188"/>
      <c r="I64" s="188"/>
      <c r="J64" s="184"/>
      <c r="K64" s="184"/>
    </row>
    <row r="65" spans="1:11" x14ac:dyDescent="0.2">
      <c r="A65" s="10">
        <v>19540</v>
      </c>
      <c r="B65" s="11">
        <v>42467</v>
      </c>
      <c r="C65" s="12">
        <v>12.99</v>
      </c>
      <c r="D65" s="12">
        <v>0.99</v>
      </c>
      <c r="E65" s="13"/>
      <c r="F65" s="18"/>
      <c r="G65" s="19"/>
      <c r="H65" s="191"/>
      <c r="I65" s="188"/>
      <c r="J65" s="184"/>
      <c r="K65" s="184"/>
    </row>
    <row r="66" spans="1:11" x14ac:dyDescent="0.2">
      <c r="A66" s="10">
        <v>19541</v>
      </c>
      <c r="B66" s="11">
        <v>42467</v>
      </c>
      <c r="C66" s="12">
        <v>92.01</v>
      </c>
      <c r="D66" s="12">
        <v>7.01</v>
      </c>
      <c r="E66" s="13"/>
      <c r="F66" s="18"/>
      <c r="G66" s="19"/>
      <c r="H66" s="191"/>
      <c r="I66" s="188"/>
      <c r="J66" s="184"/>
      <c r="K66" s="184"/>
    </row>
    <row r="67" spans="1:11" x14ac:dyDescent="0.2">
      <c r="A67" s="10">
        <v>19542</v>
      </c>
      <c r="B67" s="11">
        <v>42467</v>
      </c>
      <c r="C67" s="12">
        <v>75.78</v>
      </c>
      <c r="D67" s="12">
        <v>5.78</v>
      </c>
      <c r="E67" s="15" t="s">
        <v>11</v>
      </c>
      <c r="H67" s="188"/>
      <c r="I67" s="188"/>
      <c r="J67" s="184"/>
      <c r="K67" s="184"/>
    </row>
    <row r="68" spans="1:11" x14ac:dyDescent="0.2">
      <c r="A68" s="10">
        <v>19543</v>
      </c>
      <c r="B68" s="11">
        <v>42467</v>
      </c>
      <c r="C68" s="12">
        <v>20.57</v>
      </c>
      <c r="D68" s="12">
        <v>1.57</v>
      </c>
      <c r="E68" s="15" t="s">
        <v>11</v>
      </c>
      <c r="F68" s="21"/>
      <c r="G68" s="22"/>
      <c r="H68" s="188"/>
      <c r="I68" s="188"/>
      <c r="J68" s="184"/>
      <c r="K68" s="184"/>
    </row>
    <row r="69" spans="1:11" x14ac:dyDescent="0.2">
      <c r="A69" s="10">
        <v>19544</v>
      </c>
      <c r="B69" s="11">
        <v>42467</v>
      </c>
      <c r="C69" s="12">
        <v>10</v>
      </c>
      <c r="D69" s="12">
        <v>0.76</v>
      </c>
      <c r="E69" s="17"/>
      <c r="H69" s="191"/>
      <c r="I69" s="188"/>
      <c r="J69" s="184"/>
      <c r="K69" s="184"/>
    </row>
    <row r="70" spans="1:11" x14ac:dyDescent="0.2">
      <c r="A70" s="10">
        <v>19545</v>
      </c>
      <c r="B70" s="11">
        <v>42467</v>
      </c>
      <c r="C70" s="12">
        <v>510</v>
      </c>
      <c r="D70" s="12">
        <v>38.869999999999997</v>
      </c>
      <c r="E70" s="13" t="s">
        <v>603</v>
      </c>
      <c r="H70" s="191"/>
      <c r="I70" s="188"/>
      <c r="J70" s="184"/>
      <c r="K70" s="184"/>
    </row>
    <row r="71" spans="1:11" x14ac:dyDescent="0.2">
      <c r="A71" s="10">
        <v>19546</v>
      </c>
      <c r="B71" s="11">
        <v>42467</v>
      </c>
      <c r="C71" s="12">
        <v>44.38</v>
      </c>
      <c r="D71" s="12">
        <v>3.38</v>
      </c>
      <c r="E71" s="15" t="s">
        <v>11</v>
      </c>
      <c r="F71" s="21"/>
      <c r="G71" s="22"/>
      <c r="H71" s="188"/>
      <c r="I71" s="188"/>
      <c r="J71" s="184"/>
      <c r="K71" s="184"/>
    </row>
    <row r="72" spans="1:11" x14ac:dyDescent="0.2">
      <c r="A72" s="10">
        <v>19547</v>
      </c>
      <c r="B72" s="11">
        <v>42467</v>
      </c>
      <c r="C72" s="12">
        <v>75.78</v>
      </c>
      <c r="D72" s="12">
        <v>5.78</v>
      </c>
      <c r="E72" s="15" t="s">
        <v>626</v>
      </c>
      <c r="H72" s="188"/>
      <c r="I72" s="188"/>
      <c r="J72" s="184"/>
      <c r="K72" s="184"/>
    </row>
    <row r="73" spans="1:11" x14ac:dyDescent="0.2">
      <c r="A73" s="10">
        <v>19548</v>
      </c>
      <c r="B73" s="11">
        <v>42467</v>
      </c>
      <c r="C73" s="12">
        <v>9.69</v>
      </c>
      <c r="D73" s="12">
        <v>0.74</v>
      </c>
      <c r="E73" s="15" t="s">
        <v>13</v>
      </c>
      <c r="H73" s="188"/>
      <c r="I73" s="188"/>
      <c r="J73" s="184"/>
      <c r="K73" s="184"/>
    </row>
    <row r="74" spans="1:11" x14ac:dyDescent="0.2">
      <c r="A74" s="10">
        <v>19549</v>
      </c>
      <c r="B74" s="11">
        <v>42467</v>
      </c>
      <c r="C74" s="12">
        <v>157</v>
      </c>
      <c r="D74" s="12">
        <v>11.96</v>
      </c>
      <c r="E74" s="15" t="s">
        <v>627</v>
      </c>
      <c r="H74" s="188"/>
      <c r="I74" s="188"/>
      <c r="J74" s="184"/>
      <c r="K74" s="184"/>
    </row>
    <row r="75" spans="1:11" x14ac:dyDescent="0.2">
      <c r="A75" s="10">
        <v>19550</v>
      </c>
      <c r="B75" s="11">
        <v>42467</v>
      </c>
      <c r="C75" s="12">
        <v>111.5</v>
      </c>
      <c r="D75" s="12">
        <v>8.5</v>
      </c>
      <c r="E75" s="15" t="s">
        <v>11</v>
      </c>
      <c r="H75" s="188"/>
      <c r="I75" s="188"/>
      <c r="J75" s="184"/>
      <c r="K75" s="184"/>
    </row>
    <row r="76" spans="1:11" x14ac:dyDescent="0.2">
      <c r="A76" s="10">
        <v>19551</v>
      </c>
      <c r="B76" s="11">
        <v>42467</v>
      </c>
      <c r="C76" s="12">
        <v>9.69</v>
      </c>
      <c r="D76" s="12">
        <v>0.74</v>
      </c>
      <c r="E76" s="15" t="s">
        <v>13</v>
      </c>
      <c r="F76" s="21"/>
      <c r="G76" s="22"/>
      <c r="H76" s="188"/>
      <c r="I76" s="188"/>
      <c r="J76" s="184"/>
      <c r="K76" s="184"/>
    </row>
    <row r="77" spans="1:11" x14ac:dyDescent="0.2">
      <c r="A77" s="10">
        <v>19552</v>
      </c>
      <c r="B77" s="11">
        <v>42467</v>
      </c>
      <c r="C77" s="12">
        <v>50.18</v>
      </c>
      <c r="D77" s="12"/>
      <c r="E77" s="15" t="s">
        <v>432</v>
      </c>
      <c r="H77" s="188"/>
      <c r="I77" s="188"/>
      <c r="J77" s="184"/>
      <c r="K77" s="184"/>
    </row>
    <row r="78" spans="1:11" x14ac:dyDescent="0.2">
      <c r="A78" s="10">
        <v>19553</v>
      </c>
      <c r="B78" s="11">
        <v>42467</v>
      </c>
      <c r="C78" s="12">
        <v>74.69</v>
      </c>
      <c r="D78" s="12">
        <v>5.69</v>
      </c>
      <c r="E78" s="15" t="s">
        <v>21</v>
      </c>
      <c r="F78" s="20">
        <f>+C59+136.53+C63+C64+C67+C68+C71+C73+40+C76+12.38</f>
        <v>443.09</v>
      </c>
      <c r="G78" s="20">
        <v>433.74</v>
      </c>
      <c r="H78" s="188"/>
      <c r="I78" s="188"/>
      <c r="J78" s="184"/>
      <c r="K78" s="184"/>
    </row>
    <row r="79" spans="1:11" x14ac:dyDescent="0.2">
      <c r="A79" s="10">
        <v>19554</v>
      </c>
      <c r="B79" s="11">
        <v>42468</v>
      </c>
      <c r="C79" s="12">
        <v>15.16</v>
      </c>
      <c r="D79" s="12">
        <v>1.1599999999999999</v>
      </c>
      <c r="E79" s="15" t="s">
        <v>11</v>
      </c>
      <c r="F79" s="21"/>
      <c r="G79" s="22"/>
      <c r="H79" s="188"/>
      <c r="I79" s="188"/>
      <c r="J79" s="184"/>
      <c r="K79" s="184"/>
    </row>
    <row r="80" spans="1:11" x14ac:dyDescent="0.2">
      <c r="A80" s="10">
        <v>19555</v>
      </c>
      <c r="B80" s="11">
        <v>42468</v>
      </c>
      <c r="C80" s="12">
        <v>6.5</v>
      </c>
      <c r="D80" s="12">
        <v>0.5</v>
      </c>
      <c r="E80" s="17"/>
      <c r="H80" s="191"/>
      <c r="I80" s="188"/>
      <c r="J80" s="184"/>
      <c r="K80" s="184"/>
    </row>
    <row r="81" spans="1:11" x14ac:dyDescent="0.2">
      <c r="A81" s="10">
        <v>19556</v>
      </c>
      <c r="B81" s="11">
        <v>42468</v>
      </c>
      <c r="C81" s="12">
        <v>19</v>
      </c>
      <c r="D81" s="12">
        <v>1.45</v>
      </c>
      <c r="E81" s="17"/>
      <c r="F81" s="18"/>
      <c r="G81" s="19"/>
      <c r="H81" s="191"/>
      <c r="I81" s="188"/>
      <c r="J81" s="184"/>
      <c r="K81" s="184"/>
    </row>
    <row r="82" spans="1:11" x14ac:dyDescent="0.2">
      <c r="A82" s="10">
        <v>19557</v>
      </c>
      <c r="B82" s="11">
        <v>42468</v>
      </c>
      <c r="C82" s="12">
        <v>273.33</v>
      </c>
      <c r="D82" s="12">
        <v>20.83</v>
      </c>
      <c r="E82" s="15" t="s">
        <v>21</v>
      </c>
      <c r="F82" s="21"/>
      <c r="G82" s="22"/>
      <c r="H82" s="188"/>
      <c r="I82" s="188"/>
      <c r="J82" s="184"/>
      <c r="K82" s="184"/>
    </row>
    <row r="83" spans="1:11" x14ac:dyDescent="0.2">
      <c r="A83" s="10">
        <v>19558</v>
      </c>
      <c r="B83" s="11">
        <v>42468</v>
      </c>
      <c r="C83" s="12">
        <v>74.69</v>
      </c>
      <c r="D83" s="12">
        <v>5.69</v>
      </c>
      <c r="E83" s="15" t="s">
        <v>11</v>
      </c>
      <c r="F83" s="21"/>
      <c r="G83" s="22"/>
      <c r="H83" s="188"/>
      <c r="I83" s="188"/>
      <c r="J83" s="184"/>
      <c r="K83" s="184"/>
    </row>
    <row r="84" spans="1:11" x14ac:dyDescent="0.2">
      <c r="A84" s="10">
        <v>19559</v>
      </c>
      <c r="B84" s="11">
        <v>42468</v>
      </c>
      <c r="C84" s="12">
        <v>10.83</v>
      </c>
      <c r="D84" s="12">
        <v>0.83</v>
      </c>
      <c r="E84" s="17"/>
      <c r="H84" s="191"/>
      <c r="I84" s="188"/>
      <c r="J84" s="184"/>
      <c r="K84" s="184"/>
    </row>
    <row r="85" spans="1:11" x14ac:dyDescent="0.2">
      <c r="A85" s="10">
        <v>19560</v>
      </c>
      <c r="B85" s="11">
        <v>42468</v>
      </c>
      <c r="C85" s="12">
        <v>16.5</v>
      </c>
      <c r="D85" s="12"/>
      <c r="E85" s="15" t="s">
        <v>628</v>
      </c>
      <c r="H85" s="188"/>
      <c r="I85" s="188"/>
      <c r="J85" s="184"/>
      <c r="K85" s="184"/>
    </row>
    <row r="86" spans="1:11" x14ac:dyDescent="0.2">
      <c r="A86" s="10">
        <v>19561</v>
      </c>
      <c r="B86" s="11">
        <v>42468</v>
      </c>
      <c r="C86" s="12">
        <v>71.45</v>
      </c>
      <c r="D86" s="12">
        <v>5.45</v>
      </c>
      <c r="E86" s="15" t="s">
        <v>11</v>
      </c>
      <c r="H86" s="188"/>
      <c r="I86" s="188"/>
      <c r="J86" s="184"/>
      <c r="K86" s="184"/>
    </row>
    <row r="87" spans="1:11" x14ac:dyDescent="0.2">
      <c r="A87" s="10">
        <v>19562</v>
      </c>
      <c r="B87" s="11">
        <v>42468</v>
      </c>
      <c r="C87" s="12">
        <v>185</v>
      </c>
      <c r="D87" s="12">
        <v>14.1</v>
      </c>
      <c r="E87" s="15" t="s">
        <v>11</v>
      </c>
      <c r="H87" s="188"/>
      <c r="I87" s="188"/>
      <c r="J87" s="184"/>
      <c r="K87" s="184"/>
    </row>
    <row r="88" spans="1:11" x14ac:dyDescent="0.2">
      <c r="A88" s="10">
        <v>19563</v>
      </c>
      <c r="B88" s="11">
        <v>42468</v>
      </c>
      <c r="C88" s="12">
        <v>21.599999999999998</v>
      </c>
      <c r="D88" s="12">
        <v>1.65</v>
      </c>
      <c r="E88" s="17"/>
      <c r="H88" s="191"/>
      <c r="I88" s="188"/>
      <c r="J88" s="184"/>
      <c r="K88" s="184"/>
    </row>
    <row r="89" spans="1:11" x14ac:dyDescent="0.2">
      <c r="A89" s="10">
        <v>19564</v>
      </c>
      <c r="B89" s="11">
        <v>42468</v>
      </c>
      <c r="C89" s="12">
        <v>14</v>
      </c>
      <c r="D89" s="12">
        <v>1.07</v>
      </c>
      <c r="E89" s="17"/>
      <c r="F89" s="18"/>
      <c r="G89" s="19"/>
      <c r="H89" s="191"/>
      <c r="I89" s="188"/>
      <c r="J89" s="184"/>
      <c r="K89" s="184"/>
    </row>
    <row r="90" spans="1:11" x14ac:dyDescent="0.2">
      <c r="A90" s="10">
        <v>19565</v>
      </c>
      <c r="B90" s="11">
        <v>42468</v>
      </c>
      <c r="C90" s="12">
        <v>72.089999999999989</v>
      </c>
      <c r="D90" s="12">
        <v>5.49</v>
      </c>
      <c r="E90" s="15" t="s">
        <v>7</v>
      </c>
      <c r="H90" s="188"/>
      <c r="I90" s="188"/>
      <c r="J90" s="184"/>
      <c r="K90" s="184"/>
    </row>
    <row r="91" spans="1:11" x14ac:dyDescent="0.2">
      <c r="A91" s="10">
        <v>19566</v>
      </c>
      <c r="B91" s="11">
        <v>42468</v>
      </c>
      <c r="C91" s="12">
        <v>21.65</v>
      </c>
      <c r="D91" s="12">
        <v>1.65</v>
      </c>
      <c r="E91" s="15" t="s">
        <v>11</v>
      </c>
      <c r="F91" s="21"/>
      <c r="G91" s="22"/>
      <c r="H91" s="188"/>
      <c r="I91" s="188"/>
      <c r="J91" s="184"/>
      <c r="K91" s="184"/>
    </row>
    <row r="92" spans="1:11" x14ac:dyDescent="0.2">
      <c r="A92" s="10">
        <v>19567</v>
      </c>
      <c r="B92" s="11">
        <v>42468</v>
      </c>
      <c r="C92" s="12">
        <v>123.41</v>
      </c>
      <c r="D92" s="12">
        <v>9.41</v>
      </c>
      <c r="E92" s="17"/>
      <c r="H92" s="191"/>
      <c r="I92" s="188"/>
      <c r="J92" s="184"/>
      <c r="K92" s="184"/>
    </row>
    <row r="93" spans="1:11" x14ac:dyDescent="0.2">
      <c r="A93" s="10">
        <v>19568</v>
      </c>
      <c r="B93" s="11">
        <v>42468</v>
      </c>
      <c r="C93" s="12"/>
      <c r="D93" s="12"/>
      <c r="E93" s="15" t="s">
        <v>629</v>
      </c>
      <c r="H93" s="188"/>
      <c r="I93" s="188"/>
      <c r="J93" s="184"/>
      <c r="K93" s="184"/>
    </row>
    <row r="94" spans="1:11" x14ac:dyDescent="0.2">
      <c r="A94" s="10">
        <v>19569</v>
      </c>
      <c r="B94" s="11">
        <v>42468</v>
      </c>
      <c r="C94" s="12">
        <v>16.18</v>
      </c>
      <c r="D94" s="12">
        <v>1.23</v>
      </c>
      <c r="E94" s="15" t="s">
        <v>11</v>
      </c>
      <c r="F94" s="20">
        <f>+C79+C83+C85+C86+C87+C90+275.5+C94+C91+C46</f>
        <v>826.15999999999985</v>
      </c>
      <c r="G94" s="20">
        <v>817.85</v>
      </c>
      <c r="H94" s="188"/>
      <c r="I94" s="188"/>
      <c r="J94" s="184"/>
      <c r="K94" s="184"/>
    </row>
    <row r="95" spans="1:11" x14ac:dyDescent="0.2">
      <c r="A95" s="10">
        <v>19570</v>
      </c>
      <c r="B95" s="11">
        <v>42469</v>
      </c>
      <c r="C95" s="12">
        <v>28.15</v>
      </c>
      <c r="D95" s="12">
        <v>2.15</v>
      </c>
      <c r="E95" s="17"/>
      <c r="F95" s="18"/>
      <c r="G95" s="19"/>
      <c r="H95" s="191"/>
      <c r="I95" s="188"/>
      <c r="J95" s="184"/>
      <c r="K95" s="184"/>
    </row>
    <row r="96" spans="1:11" x14ac:dyDescent="0.2">
      <c r="A96" s="10">
        <v>19571</v>
      </c>
      <c r="B96" s="11">
        <v>42469</v>
      </c>
      <c r="C96" s="12">
        <v>334.49</v>
      </c>
      <c r="D96" s="12">
        <v>25.49</v>
      </c>
      <c r="E96" s="15" t="s">
        <v>11</v>
      </c>
      <c r="H96" s="188"/>
      <c r="I96" s="188"/>
      <c r="J96" s="184"/>
      <c r="K96" s="184"/>
    </row>
    <row r="97" spans="1:11" x14ac:dyDescent="0.2">
      <c r="A97" s="10">
        <v>19572</v>
      </c>
      <c r="B97" s="11">
        <v>42469</v>
      </c>
      <c r="C97" s="12">
        <v>379.42</v>
      </c>
      <c r="D97" s="12">
        <v>28.92</v>
      </c>
      <c r="E97" s="15" t="s">
        <v>630</v>
      </c>
      <c r="H97" s="188"/>
      <c r="I97" s="188"/>
      <c r="J97" s="184"/>
      <c r="K97" s="184"/>
    </row>
    <row r="98" spans="1:11" x14ac:dyDescent="0.2">
      <c r="A98" s="10">
        <v>19573</v>
      </c>
      <c r="B98" s="11">
        <v>42469</v>
      </c>
      <c r="C98" s="12">
        <v>30.31</v>
      </c>
      <c r="D98" s="12">
        <v>2.31</v>
      </c>
      <c r="E98" s="15" t="s">
        <v>7</v>
      </c>
      <c r="H98" s="188"/>
      <c r="I98" s="188"/>
      <c r="J98" s="184"/>
      <c r="K98" s="184"/>
    </row>
    <row r="99" spans="1:11" x14ac:dyDescent="0.2">
      <c r="A99" s="10">
        <v>19574</v>
      </c>
      <c r="B99" s="11">
        <v>42469</v>
      </c>
      <c r="C99" s="12">
        <v>333</v>
      </c>
      <c r="D99" s="12">
        <v>25.38</v>
      </c>
      <c r="E99" s="17"/>
      <c r="F99" s="18"/>
      <c r="G99" s="19"/>
      <c r="H99" s="191"/>
      <c r="I99" s="188"/>
      <c r="J99" s="184"/>
      <c r="K99" s="184"/>
    </row>
    <row r="100" spans="1:11" x14ac:dyDescent="0.2">
      <c r="A100" s="10">
        <v>19575</v>
      </c>
      <c r="B100" s="11">
        <v>42469</v>
      </c>
      <c r="C100" s="12">
        <v>27.06</v>
      </c>
      <c r="D100" s="12">
        <v>2.06</v>
      </c>
      <c r="E100" s="17"/>
      <c r="H100" s="191"/>
      <c r="I100" s="188"/>
      <c r="J100" s="184"/>
      <c r="K100" s="184"/>
    </row>
    <row r="101" spans="1:11" x14ac:dyDescent="0.2">
      <c r="A101" s="10">
        <v>19576</v>
      </c>
      <c r="B101" s="11">
        <v>42469</v>
      </c>
      <c r="C101" s="12">
        <v>37.89</v>
      </c>
      <c r="D101" s="12">
        <v>2.89</v>
      </c>
      <c r="E101" s="15" t="s">
        <v>11</v>
      </c>
      <c r="H101" s="188"/>
      <c r="I101" s="188"/>
      <c r="J101" s="184"/>
      <c r="K101" s="184"/>
    </row>
    <row r="102" spans="1:11" x14ac:dyDescent="0.2">
      <c r="A102" s="10">
        <v>19577</v>
      </c>
      <c r="B102" s="11">
        <v>42469</v>
      </c>
      <c r="C102" s="12">
        <v>167.79</v>
      </c>
      <c r="D102" s="12">
        <v>12.79</v>
      </c>
      <c r="E102" s="15" t="s">
        <v>631</v>
      </c>
      <c r="H102" s="188"/>
      <c r="I102" s="188"/>
      <c r="J102" s="184"/>
      <c r="K102" s="184"/>
    </row>
    <row r="103" spans="1:11" x14ac:dyDescent="0.2">
      <c r="A103" s="10">
        <v>19578</v>
      </c>
      <c r="B103" s="11">
        <v>42469</v>
      </c>
      <c r="C103" s="12">
        <v>70.36</v>
      </c>
      <c r="D103" s="12">
        <v>5.36</v>
      </c>
      <c r="E103" s="15" t="s">
        <v>11</v>
      </c>
      <c r="H103" s="188"/>
      <c r="I103" s="188"/>
      <c r="J103" s="184"/>
      <c r="K103" s="184"/>
    </row>
    <row r="104" spans="1:11" x14ac:dyDescent="0.2">
      <c r="A104" s="10">
        <v>19579</v>
      </c>
      <c r="B104" s="11">
        <v>42469</v>
      </c>
      <c r="C104" s="12">
        <v>-58</v>
      </c>
      <c r="D104" s="12"/>
      <c r="E104" s="15" t="s">
        <v>25</v>
      </c>
      <c r="H104" s="188"/>
      <c r="I104" s="188"/>
      <c r="J104" s="184"/>
      <c r="K104" s="184"/>
    </row>
    <row r="105" spans="1:11" x14ac:dyDescent="0.2">
      <c r="A105" s="10">
        <v>19580</v>
      </c>
      <c r="B105" s="11">
        <v>42469</v>
      </c>
      <c r="C105" s="12">
        <v>189.55</v>
      </c>
      <c r="D105" s="12"/>
      <c r="E105" s="15" t="s">
        <v>632</v>
      </c>
      <c r="F105" s="20">
        <f>+C96+150+C98+C101+C103+C75</f>
        <v>734.55</v>
      </c>
      <c r="G105" s="20">
        <v>729.44</v>
      </c>
      <c r="H105" s="188"/>
      <c r="I105" s="188"/>
      <c r="J105" s="184"/>
      <c r="K105" s="184"/>
    </row>
    <row r="106" spans="1:11" x14ac:dyDescent="0.2">
      <c r="A106" s="10">
        <v>19581</v>
      </c>
      <c r="B106" s="11">
        <v>42471</v>
      </c>
      <c r="C106" s="12">
        <v>294.44</v>
      </c>
      <c r="D106" s="12">
        <v>22.44</v>
      </c>
      <c r="E106" s="17"/>
      <c r="H106" s="191"/>
      <c r="I106" s="188"/>
      <c r="J106" s="184"/>
      <c r="K106" s="184"/>
    </row>
    <row r="107" spans="1:11" x14ac:dyDescent="0.2">
      <c r="A107" s="10">
        <v>19582</v>
      </c>
      <c r="B107" s="11">
        <v>42471</v>
      </c>
      <c r="C107" s="12">
        <v>48.28</v>
      </c>
      <c r="D107" s="12">
        <v>3.68</v>
      </c>
      <c r="E107" s="17"/>
      <c r="H107" s="191"/>
      <c r="I107" s="188"/>
      <c r="J107" s="184"/>
      <c r="K107" s="184"/>
    </row>
    <row r="108" spans="1:11" x14ac:dyDescent="0.2">
      <c r="A108" s="10">
        <v>19583</v>
      </c>
      <c r="B108" s="11">
        <v>42471</v>
      </c>
      <c r="C108" s="12">
        <v>101.76</v>
      </c>
      <c r="D108" s="12">
        <v>7.76</v>
      </c>
      <c r="E108" s="15" t="s">
        <v>11</v>
      </c>
      <c r="H108" s="188"/>
      <c r="I108" s="188"/>
      <c r="J108" s="184"/>
      <c r="K108" s="184"/>
    </row>
    <row r="109" spans="1:11" x14ac:dyDescent="0.2">
      <c r="A109" s="10">
        <v>19584</v>
      </c>
      <c r="B109" s="11">
        <v>42471</v>
      </c>
      <c r="C109" s="12">
        <v>182.62</v>
      </c>
      <c r="D109" s="12"/>
      <c r="E109" s="15" t="s">
        <v>632</v>
      </c>
      <c r="H109" s="188"/>
      <c r="I109" s="188"/>
      <c r="J109" s="184"/>
      <c r="K109" s="184"/>
    </row>
    <row r="110" spans="1:11" x14ac:dyDescent="0.2">
      <c r="A110" s="10">
        <v>19585</v>
      </c>
      <c r="B110" s="11">
        <v>42471</v>
      </c>
      <c r="C110" s="12">
        <v>75.78</v>
      </c>
      <c r="D110" s="12">
        <v>5.78</v>
      </c>
      <c r="E110" s="15" t="s">
        <v>11</v>
      </c>
      <c r="F110" s="21"/>
      <c r="G110" s="22"/>
      <c r="H110" s="188"/>
      <c r="I110" s="188"/>
      <c r="J110" s="184"/>
      <c r="K110" s="184"/>
    </row>
    <row r="111" spans="1:11" x14ac:dyDescent="0.2">
      <c r="A111" s="10">
        <v>19586</v>
      </c>
      <c r="B111" s="11">
        <v>42471</v>
      </c>
      <c r="C111" s="12">
        <v>60.62</v>
      </c>
      <c r="D111" s="12">
        <v>4.62</v>
      </c>
      <c r="E111" s="15" t="s">
        <v>11</v>
      </c>
      <c r="H111" s="188"/>
      <c r="I111" s="188"/>
      <c r="J111" s="184"/>
      <c r="K111" s="184"/>
    </row>
    <row r="112" spans="1:11" x14ac:dyDescent="0.2">
      <c r="A112" s="10">
        <v>19587</v>
      </c>
      <c r="B112" s="11">
        <v>42471</v>
      </c>
      <c r="C112" s="12">
        <v>385.37</v>
      </c>
      <c r="D112" s="12">
        <v>29.37</v>
      </c>
      <c r="E112" s="15" t="s">
        <v>21</v>
      </c>
      <c r="F112" s="21"/>
      <c r="G112" s="22"/>
      <c r="H112" s="188"/>
      <c r="I112" s="188"/>
      <c r="J112" s="184"/>
      <c r="K112" s="184"/>
    </row>
    <row r="113" spans="1:11" x14ac:dyDescent="0.2">
      <c r="A113" s="10">
        <v>19588</v>
      </c>
      <c r="B113" s="11">
        <v>42471</v>
      </c>
      <c r="C113" s="12">
        <v>18.940000000000001</v>
      </c>
      <c r="D113" s="12">
        <v>1.44</v>
      </c>
      <c r="E113" s="15" t="s">
        <v>7</v>
      </c>
      <c r="H113" s="188"/>
      <c r="I113" s="188"/>
      <c r="J113" s="184"/>
      <c r="K113" s="184"/>
    </row>
    <row r="114" spans="1:11" x14ac:dyDescent="0.2">
      <c r="A114" s="10">
        <v>19589</v>
      </c>
      <c r="B114" s="11">
        <v>42471</v>
      </c>
      <c r="C114" s="12">
        <v>129.9</v>
      </c>
      <c r="D114" s="12">
        <v>9.9</v>
      </c>
      <c r="E114" s="15" t="s">
        <v>11</v>
      </c>
      <c r="H114" s="188"/>
      <c r="I114" s="188"/>
      <c r="J114" s="184"/>
      <c r="K114" s="184"/>
    </row>
    <row r="115" spans="1:11" x14ac:dyDescent="0.2">
      <c r="A115" s="10">
        <v>19590</v>
      </c>
      <c r="B115" s="11">
        <v>42471</v>
      </c>
      <c r="C115" s="12">
        <v>54.13</v>
      </c>
      <c r="D115" s="12">
        <v>4.13</v>
      </c>
      <c r="E115" s="15" t="s">
        <v>7</v>
      </c>
      <c r="H115" s="188"/>
      <c r="I115" s="188"/>
      <c r="J115" s="184"/>
      <c r="K115" s="184"/>
    </row>
    <row r="116" spans="1:11" x14ac:dyDescent="0.2">
      <c r="A116" s="10">
        <v>19591</v>
      </c>
      <c r="B116" s="11">
        <v>42471</v>
      </c>
      <c r="C116" s="12">
        <v>16.239999999999998</v>
      </c>
      <c r="D116" s="12">
        <v>1.24</v>
      </c>
      <c r="E116" s="17"/>
      <c r="F116" s="18"/>
      <c r="G116" s="19"/>
      <c r="H116" s="191"/>
      <c r="I116" s="188"/>
      <c r="J116" s="184"/>
      <c r="K116" s="184"/>
    </row>
    <row r="117" spans="1:11" x14ac:dyDescent="0.2">
      <c r="A117" s="10">
        <v>19592</v>
      </c>
      <c r="B117" s="11">
        <v>42471</v>
      </c>
      <c r="C117" s="12">
        <v>107.17</v>
      </c>
      <c r="D117" s="12">
        <v>8.17</v>
      </c>
      <c r="E117" s="15" t="s">
        <v>11</v>
      </c>
      <c r="H117" s="188"/>
      <c r="I117" s="188"/>
      <c r="J117" s="184"/>
      <c r="K117" s="184"/>
    </row>
    <row r="118" spans="1:11" x14ac:dyDescent="0.2">
      <c r="A118" s="10">
        <v>19593</v>
      </c>
      <c r="B118" s="11">
        <v>42471</v>
      </c>
      <c r="C118" s="12">
        <v>32.479999999999997</v>
      </c>
      <c r="D118" s="12">
        <v>2.48</v>
      </c>
      <c r="E118" s="15" t="s">
        <v>11</v>
      </c>
      <c r="H118" s="188"/>
      <c r="I118" s="188"/>
      <c r="J118" s="184"/>
      <c r="K118" s="184"/>
    </row>
    <row r="119" spans="1:11" x14ac:dyDescent="0.2">
      <c r="A119" s="10">
        <v>19594</v>
      </c>
      <c r="B119" s="11">
        <v>42471</v>
      </c>
      <c r="C119" s="12">
        <v>11.97</v>
      </c>
      <c r="D119" s="12"/>
      <c r="E119" s="13" t="s">
        <v>114</v>
      </c>
      <c r="H119" s="191"/>
      <c r="I119" s="188"/>
      <c r="J119" s="184"/>
      <c r="K119" s="184"/>
    </row>
    <row r="120" spans="1:11" x14ac:dyDescent="0.2">
      <c r="A120" s="10">
        <v>19595</v>
      </c>
      <c r="B120" s="11">
        <v>42471</v>
      </c>
      <c r="C120" s="12">
        <v>21.65</v>
      </c>
      <c r="D120" s="12">
        <v>1.65</v>
      </c>
      <c r="E120" s="15" t="s">
        <v>11</v>
      </c>
      <c r="F120" s="20">
        <f>+C110+C111+C113+185+C114+C115+C117+C118+C120+C112+40+C108</f>
        <v>1212.8</v>
      </c>
      <c r="G120" s="20">
        <v>1193.73</v>
      </c>
      <c r="H120" s="188"/>
      <c r="I120" s="188"/>
      <c r="J120" s="184"/>
      <c r="K120" s="184"/>
    </row>
    <row r="121" spans="1:11" x14ac:dyDescent="0.2">
      <c r="A121" s="10">
        <v>19596</v>
      </c>
      <c r="B121" s="11">
        <v>42472</v>
      </c>
      <c r="C121" s="12">
        <v>22.73</v>
      </c>
      <c r="D121" s="12">
        <v>1.73</v>
      </c>
      <c r="E121" s="15" t="s">
        <v>21</v>
      </c>
      <c r="F121" s="21"/>
      <c r="G121" s="22"/>
      <c r="H121" s="188"/>
      <c r="I121" s="188"/>
      <c r="J121" s="184"/>
      <c r="K121" s="184"/>
    </row>
    <row r="122" spans="1:11" x14ac:dyDescent="0.2">
      <c r="A122" s="10">
        <v>19597</v>
      </c>
      <c r="B122" s="11">
        <v>42472</v>
      </c>
      <c r="C122" s="12">
        <v>281.45</v>
      </c>
      <c r="D122" s="12">
        <v>21.45</v>
      </c>
      <c r="E122" s="15" t="s">
        <v>26</v>
      </c>
      <c r="F122" s="21"/>
      <c r="G122" s="22"/>
      <c r="H122" s="188"/>
      <c r="I122" s="188"/>
      <c r="J122" s="184"/>
      <c r="K122" s="184"/>
    </row>
    <row r="123" spans="1:11" x14ac:dyDescent="0.2">
      <c r="A123" s="10">
        <v>19598</v>
      </c>
      <c r="B123" s="11">
        <v>42472</v>
      </c>
      <c r="C123" s="12">
        <v>231.66</v>
      </c>
      <c r="D123" s="12">
        <v>17.66</v>
      </c>
      <c r="E123" s="15" t="s">
        <v>11</v>
      </c>
      <c r="H123" s="188"/>
      <c r="I123" s="188"/>
      <c r="J123" s="184"/>
      <c r="K123" s="184"/>
    </row>
    <row r="124" spans="1:11" x14ac:dyDescent="0.2">
      <c r="A124" s="10">
        <v>19599</v>
      </c>
      <c r="B124" s="11">
        <v>42472</v>
      </c>
      <c r="C124" s="12">
        <v>30.85</v>
      </c>
      <c r="D124" s="12"/>
      <c r="E124" s="13" t="s">
        <v>296</v>
      </c>
      <c r="F124" s="18"/>
      <c r="G124" s="19"/>
      <c r="H124" s="191"/>
      <c r="I124" s="188"/>
      <c r="J124" s="184"/>
      <c r="K124" s="184"/>
    </row>
    <row r="125" spans="1:11" x14ac:dyDescent="0.2">
      <c r="A125" s="10">
        <v>19600</v>
      </c>
      <c r="B125" s="11">
        <v>42472</v>
      </c>
      <c r="C125" s="12">
        <v>9</v>
      </c>
      <c r="D125" s="12"/>
      <c r="E125" s="15" t="s">
        <v>12</v>
      </c>
      <c r="H125" s="188"/>
      <c r="I125" s="188"/>
      <c r="J125" s="184"/>
      <c r="K125" s="184"/>
    </row>
    <row r="126" spans="1:11" x14ac:dyDescent="0.2">
      <c r="A126" s="10">
        <v>19601</v>
      </c>
      <c r="B126" s="11">
        <v>42472</v>
      </c>
      <c r="C126" s="12">
        <v>244.65</v>
      </c>
      <c r="D126" s="12">
        <v>18.649999999999999</v>
      </c>
      <c r="E126" s="15" t="s">
        <v>11</v>
      </c>
      <c r="F126" s="21"/>
      <c r="G126" s="22"/>
      <c r="H126" s="188"/>
      <c r="I126" s="188"/>
      <c r="J126" s="184"/>
      <c r="K126" s="184"/>
    </row>
    <row r="127" spans="1:11" x14ac:dyDescent="0.2">
      <c r="A127" s="10">
        <v>19602</v>
      </c>
      <c r="B127" s="11">
        <v>42472</v>
      </c>
      <c r="C127" s="12">
        <v>214.34</v>
      </c>
      <c r="D127" s="12">
        <v>16.34</v>
      </c>
      <c r="E127" s="15" t="s">
        <v>11</v>
      </c>
      <c r="F127" s="21"/>
      <c r="G127" s="22"/>
      <c r="H127" s="188"/>
      <c r="I127" s="188"/>
      <c r="J127" s="184"/>
      <c r="K127" s="184"/>
    </row>
    <row r="128" spans="1:11" x14ac:dyDescent="0.2">
      <c r="A128" s="10">
        <v>19603</v>
      </c>
      <c r="B128" s="11">
        <v>42472</v>
      </c>
      <c r="C128" s="12">
        <v>108.25</v>
      </c>
      <c r="D128" s="12">
        <v>8.25</v>
      </c>
      <c r="E128" s="15" t="s">
        <v>11</v>
      </c>
      <c r="H128" s="188"/>
      <c r="I128" s="188"/>
      <c r="J128" s="184"/>
      <c r="K128" s="184"/>
    </row>
    <row r="129" spans="1:11" x14ac:dyDescent="0.2">
      <c r="A129" s="10">
        <v>19604</v>
      </c>
      <c r="B129" s="11">
        <v>42472</v>
      </c>
      <c r="C129" s="12">
        <v>41.14</v>
      </c>
      <c r="D129" s="12">
        <v>3.14</v>
      </c>
      <c r="E129" s="15" t="s">
        <v>11</v>
      </c>
      <c r="H129" s="188"/>
      <c r="I129" s="188"/>
      <c r="J129" s="184"/>
      <c r="K129" s="184"/>
    </row>
    <row r="130" spans="1:11" x14ac:dyDescent="0.2">
      <c r="A130" s="10">
        <v>19605</v>
      </c>
      <c r="B130" s="11">
        <v>42472</v>
      </c>
      <c r="C130" s="12">
        <v>29.23</v>
      </c>
      <c r="D130" s="12">
        <v>2.23</v>
      </c>
      <c r="E130" s="15" t="s">
        <v>11</v>
      </c>
      <c r="H130" s="188"/>
      <c r="I130" s="188"/>
      <c r="J130" s="184"/>
      <c r="K130" s="184"/>
    </row>
    <row r="131" spans="1:11" x14ac:dyDescent="0.2">
      <c r="A131" s="10">
        <v>19606</v>
      </c>
      <c r="B131" s="11">
        <v>42472</v>
      </c>
      <c r="C131" s="12">
        <v>37.830000000000005</v>
      </c>
      <c r="D131" s="12">
        <v>2.88</v>
      </c>
      <c r="E131" s="15" t="s">
        <v>11</v>
      </c>
      <c r="F131" s="21"/>
      <c r="G131" s="22"/>
      <c r="H131" s="188"/>
      <c r="I131" s="188"/>
      <c r="J131" s="184"/>
      <c r="K131" s="184"/>
    </row>
    <row r="132" spans="1:11" x14ac:dyDescent="0.2">
      <c r="A132" s="10">
        <v>19607</v>
      </c>
      <c r="B132" s="11">
        <v>42472</v>
      </c>
      <c r="C132" s="12">
        <v>106.09</v>
      </c>
      <c r="D132" s="12">
        <v>8.09</v>
      </c>
      <c r="E132" s="15" t="s">
        <v>11</v>
      </c>
      <c r="H132" s="188"/>
      <c r="I132" s="188"/>
      <c r="J132" s="184"/>
      <c r="K132" s="184"/>
    </row>
    <row r="133" spans="1:11" x14ac:dyDescent="0.2">
      <c r="A133" s="10">
        <v>19608</v>
      </c>
      <c r="B133" s="11">
        <v>42472</v>
      </c>
      <c r="C133" s="12">
        <v>96.34</v>
      </c>
      <c r="D133" s="12">
        <v>7.34</v>
      </c>
      <c r="E133" s="15" t="s">
        <v>7</v>
      </c>
      <c r="H133" s="188"/>
      <c r="I133" s="188"/>
      <c r="J133" s="184"/>
      <c r="K133" s="184"/>
    </row>
    <row r="134" spans="1:11" x14ac:dyDescent="0.2">
      <c r="A134" s="10">
        <v>19609</v>
      </c>
      <c r="B134" s="11">
        <v>42472</v>
      </c>
      <c r="C134" s="12">
        <v>33.5</v>
      </c>
      <c r="D134" s="12">
        <v>2.5499999999999998</v>
      </c>
      <c r="E134" s="15" t="s">
        <v>533</v>
      </c>
      <c r="F134" s="21"/>
      <c r="G134" s="22"/>
      <c r="H134" s="188"/>
      <c r="I134" s="188"/>
      <c r="J134" s="184"/>
      <c r="K134" s="184"/>
    </row>
    <row r="135" spans="1:11" x14ac:dyDescent="0.2">
      <c r="A135" s="10">
        <v>19610</v>
      </c>
      <c r="B135" s="11">
        <v>42472</v>
      </c>
      <c r="C135" s="12">
        <v>35.72</v>
      </c>
      <c r="D135" s="12">
        <v>2.72</v>
      </c>
      <c r="E135" s="13"/>
      <c r="F135" s="18"/>
      <c r="G135" s="19"/>
      <c r="H135" s="191"/>
      <c r="I135" s="188"/>
      <c r="J135" s="184"/>
      <c r="K135" s="184"/>
    </row>
    <row r="136" spans="1:11" x14ac:dyDescent="0.2">
      <c r="A136" s="10">
        <v>19611</v>
      </c>
      <c r="B136" s="11">
        <v>42472</v>
      </c>
      <c r="C136" s="12">
        <v>31.279999999999998</v>
      </c>
      <c r="D136" s="12">
        <v>2.38</v>
      </c>
      <c r="E136" s="15" t="s">
        <v>11</v>
      </c>
      <c r="F136" s="21"/>
      <c r="G136" s="22"/>
      <c r="H136" s="188"/>
      <c r="I136" s="188"/>
      <c r="J136" s="184"/>
      <c r="K136" s="184"/>
    </row>
    <row r="137" spans="1:11" x14ac:dyDescent="0.2">
      <c r="A137" s="10">
        <v>19612</v>
      </c>
      <c r="B137" s="11">
        <v>42472</v>
      </c>
      <c r="C137" s="12">
        <v>29.23</v>
      </c>
      <c r="D137" s="12">
        <v>2.23</v>
      </c>
      <c r="E137" s="15" t="s">
        <v>11</v>
      </c>
      <c r="F137" s="21"/>
      <c r="G137" s="22"/>
      <c r="H137" s="188"/>
      <c r="I137" s="188"/>
      <c r="J137" s="184"/>
      <c r="K137" s="184"/>
    </row>
    <row r="138" spans="1:11" x14ac:dyDescent="0.2">
      <c r="A138" s="10">
        <v>19613</v>
      </c>
      <c r="B138" s="11">
        <v>42472</v>
      </c>
      <c r="C138" s="12">
        <v>193.77</v>
      </c>
      <c r="D138" s="12">
        <v>14.77</v>
      </c>
      <c r="E138" s="13"/>
      <c r="F138" s="18"/>
      <c r="G138" s="19"/>
      <c r="H138" s="191"/>
      <c r="I138" s="188"/>
      <c r="J138" s="184"/>
      <c r="K138" s="184"/>
    </row>
    <row r="139" spans="1:11" x14ac:dyDescent="0.2">
      <c r="A139" s="10">
        <v>19614</v>
      </c>
      <c r="B139" s="11">
        <v>42472</v>
      </c>
      <c r="C139" s="12">
        <v>29.23</v>
      </c>
      <c r="D139" s="12">
        <v>2.23</v>
      </c>
      <c r="E139" s="15" t="s">
        <v>11</v>
      </c>
      <c r="I139" s="188"/>
      <c r="J139" s="184"/>
      <c r="K139" s="184"/>
    </row>
    <row r="140" spans="1:11" x14ac:dyDescent="0.2">
      <c r="A140" s="10">
        <v>19615</v>
      </c>
      <c r="B140" s="11">
        <v>42472</v>
      </c>
      <c r="C140" s="12">
        <v>95.26</v>
      </c>
      <c r="D140" s="12">
        <v>7.26</v>
      </c>
      <c r="E140" s="15" t="s">
        <v>13</v>
      </c>
      <c r="F140" s="134">
        <f>+C123+205.68+100+C127+C128+C129+C130+C131+C132+C133+C136+C137+C139+C140+38.97</f>
        <v>1394.53</v>
      </c>
      <c r="G140" s="123">
        <f>+F140*0.97831</f>
        <v>1364.2826442999999</v>
      </c>
      <c r="H140" s="195" t="s">
        <v>633</v>
      </c>
      <c r="I140" s="188"/>
      <c r="J140" s="184"/>
      <c r="K140" s="184"/>
    </row>
    <row r="141" spans="1:11" x14ac:dyDescent="0.2">
      <c r="A141" s="10">
        <v>19616</v>
      </c>
      <c r="B141" s="11">
        <v>42473</v>
      </c>
      <c r="C141" s="12">
        <v>236</v>
      </c>
      <c r="D141" s="12"/>
      <c r="E141" s="15" t="s">
        <v>25</v>
      </c>
      <c r="H141" s="193"/>
      <c r="I141" s="188"/>
      <c r="J141" s="184"/>
      <c r="K141" s="184"/>
    </row>
    <row r="142" spans="1:11" x14ac:dyDescent="0.2">
      <c r="A142" s="10">
        <v>19617</v>
      </c>
      <c r="B142" s="11">
        <v>42473</v>
      </c>
      <c r="C142" s="12">
        <v>37.830000000000005</v>
      </c>
      <c r="D142" s="12">
        <v>2.88</v>
      </c>
      <c r="E142" s="15" t="s">
        <v>11</v>
      </c>
      <c r="H142" s="193"/>
      <c r="I142" s="188"/>
      <c r="J142" s="184"/>
      <c r="K142" s="184"/>
    </row>
    <row r="143" spans="1:11" x14ac:dyDescent="0.2">
      <c r="A143" s="10">
        <v>19618</v>
      </c>
      <c r="B143" s="11">
        <v>42473</v>
      </c>
      <c r="C143" s="12">
        <v>45.47</v>
      </c>
      <c r="D143" s="12">
        <v>3.47</v>
      </c>
      <c r="E143" s="17"/>
      <c r="F143" s="18"/>
      <c r="G143" s="19"/>
      <c r="H143" s="194"/>
      <c r="I143" s="188"/>
      <c r="J143" s="184"/>
      <c r="K143" s="184"/>
    </row>
    <row r="144" spans="1:11" x14ac:dyDescent="0.2">
      <c r="A144" s="10">
        <v>19619</v>
      </c>
      <c r="B144" s="11">
        <v>42473</v>
      </c>
      <c r="C144" s="12">
        <v>17</v>
      </c>
      <c r="D144" s="12"/>
      <c r="E144" s="15" t="s">
        <v>25</v>
      </c>
      <c r="F144" s="21"/>
      <c r="G144" s="22"/>
      <c r="H144" s="193"/>
      <c r="I144" s="188"/>
      <c r="J144" s="184"/>
      <c r="K144" s="184"/>
    </row>
    <row r="145" spans="1:11" x14ac:dyDescent="0.2">
      <c r="A145" s="10">
        <v>19620</v>
      </c>
      <c r="B145" s="11">
        <v>42473</v>
      </c>
      <c r="C145" s="12">
        <v>108.25</v>
      </c>
      <c r="D145" s="12">
        <v>8.25</v>
      </c>
      <c r="E145" s="15" t="s">
        <v>7</v>
      </c>
      <c r="H145" s="193"/>
      <c r="I145" s="188"/>
      <c r="J145" s="184"/>
      <c r="K145" s="184"/>
    </row>
    <row r="146" spans="1:11" x14ac:dyDescent="0.2">
      <c r="A146" s="10">
        <v>19621</v>
      </c>
      <c r="B146" s="11">
        <v>42473</v>
      </c>
      <c r="C146" s="12">
        <v>159.13</v>
      </c>
      <c r="D146" s="12">
        <v>12.13</v>
      </c>
      <c r="E146" s="15" t="s">
        <v>11</v>
      </c>
      <c r="F146" s="21"/>
      <c r="G146" s="22"/>
      <c r="H146" s="193"/>
      <c r="I146" s="188"/>
      <c r="J146" s="184"/>
      <c r="K146" s="184"/>
    </row>
    <row r="147" spans="1:11" x14ac:dyDescent="0.2">
      <c r="A147" s="10">
        <v>19622</v>
      </c>
      <c r="B147" s="11">
        <v>42473</v>
      </c>
      <c r="C147" s="12">
        <v>71.45</v>
      </c>
      <c r="D147" s="12">
        <v>5.45</v>
      </c>
      <c r="E147" s="15" t="s">
        <v>7</v>
      </c>
      <c r="H147" s="193"/>
      <c r="I147" s="188"/>
      <c r="J147" s="184"/>
      <c r="K147" s="184"/>
    </row>
    <row r="148" spans="1:11" x14ac:dyDescent="0.2">
      <c r="A148" s="10">
        <v>19623</v>
      </c>
      <c r="B148" s="11">
        <v>42473</v>
      </c>
      <c r="C148" s="12">
        <v>505.53</v>
      </c>
      <c r="D148" s="12">
        <v>38.53</v>
      </c>
      <c r="E148" s="15" t="s">
        <v>634</v>
      </c>
      <c r="H148" s="193"/>
      <c r="I148" s="188"/>
      <c r="J148" s="184"/>
      <c r="K148" s="184"/>
    </row>
    <row r="149" spans="1:11" x14ac:dyDescent="0.2">
      <c r="A149" s="10">
        <v>19624</v>
      </c>
      <c r="B149" s="11">
        <v>42473</v>
      </c>
      <c r="C149" s="12">
        <v>380</v>
      </c>
      <c r="D149" s="12">
        <v>28.96</v>
      </c>
      <c r="E149" s="17"/>
      <c r="H149" s="194"/>
      <c r="I149" s="188"/>
      <c r="J149" s="184"/>
      <c r="K149" s="184"/>
    </row>
    <row r="150" spans="1:11" x14ac:dyDescent="0.2">
      <c r="A150" s="10">
        <v>19625</v>
      </c>
      <c r="B150" s="11">
        <v>42473</v>
      </c>
      <c r="C150" s="12">
        <v>64.95</v>
      </c>
      <c r="D150" s="12">
        <v>4.95</v>
      </c>
      <c r="E150" s="15" t="s">
        <v>7</v>
      </c>
      <c r="F150" s="21"/>
      <c r="G150" s="22"/>
      <c r="H150" s="193"/>
      <c r="I150" s="188"/>
      <c r="J150" s="184"/>
      <c r="K150" s="184"/>
    </row>
    <row r="151" spans="1:11" x14ac:dyDescent="0.2">
      <c r="A151" s="10">
        <v>19626</v>
      </c>
      <c r="B151" s="11">
        <v>42473</v>
      </c>
      <c r="C151" s="12">
        <v>70.36</v>
      </c>
      <c r="D151" s="12">
        <v>5.36</v>
      </c>
      <c r="E151" s="13"/>
      <c r="F151" s="18"/>
      <c r="G151" s="19"/>
      <c r="H151" s="194"/>
      <c r="I151" s="188"/>
      <c r="J151" s="184"/>
      <c r="K151" s="184"/>
    </row>
    <row r="152" spans="1:11" x14ac:dyDescent="0.2">
      <c r="A152" s="10">
        <v>19627</v>
      </c>
      <c r="B152" s="11">
        <v>42473</v>
      </c>
      <c r="C152" s="12">
        <v>48.71</v>
      </c>
      <c r="D152" s="12">
        <v>3.71</v>
      </c>
      <c r="E152" s="15" t="s">
        <v>11</v>
      </c>
      <c r="F152" s="21"/>
      <c r="G152" s="22"/>
      <c r="H152" s="193"/>
      <c r="I152" s="188"/>
      <c r="J152" s="184"/>
      <c r="K152" s="184"/>
    </row>
    <row r="153" spans="1:11" x14ac:dyDescent="0.2">
      <c r="A153" s="10">
        <v>19628</v>
      </c>
      <c r="B153" s="11">
        <v>42473</v>
      </c>
      <c r="C153" s="12">
        <v>102.25</v>
      </c>
      <c r="D153" s="12"/>
      <c r="E153" s="15" t="s">
        <v>401</v>
      </c>
      <c r="F153" s="18"/>
      <c r="G153" s="19"/>
      <c r="H153" s="194"/>
      <c r="I153" s="188"/>
      <c r="J153" s="184"/>
      <c r="K153" s="184"/>
    </row>
    <row r="154" spans="1:11" x14ac:dyDescent="0.2">
      <c r="A154" s="10">
        <v>19629</v>
      </c>
      <c r="B154" s="11">
        <v>42473</v>
      </c>
      <c r="C154" s="12">
        <v>192.33</v>
      </c>
      <c r="D154" s="12"/>
      <c r="E154" s="15" t="s">
        <v>632</v>
      </c>
      <c r="H154" s="194"/>
      <c r="I154" s="188"/>
      <c r="J154" s="184"/>
      <c r="K154" s="184"/>
    </row>
    <row r="155" spans="1:11" x14ac:dyDescent="0.2">
      <c r="A155" s="10">
        <v>19630</v>
      </c>
      <c r="B155" s="11">
        <v>42473</v>
      </c>
      <c r="C155" s="12">
        <v>5.41</v>
      </c>
      <c r="D155" s="12">
        <v>0.41</v>
      </c>
      <c r="E155" s="15" t="s">
        <v>21</v>
      </c>
      <c r="F155" s="134">
        <f>+C142+C145+C146+C147+C150+C154+C109+C105+C152</f>
        <v>1054.8200000000002</v>
      </c>
      <c r="G155" s="123">
        <f>+F155*0.97831</f>
        <v>1031.9409542000001</v>
      </c>
      <c r="H155" s="193"/>
      <c r="I155" s="188"/>
      <c r="J155" s="184"/>
      <c r="K155" s="184"/>
    </row>
    <row r="156" spans="1:11" x14ac:dyDescent="0.2">
      <c r="A156" s="10">
        <v>19631</v>
      </c>
      <c r="B156" s="11">
        <v>42474</v>
      </c>
      <c r="C156" s="12">
        <v>29.23</v>
      </c>
      <c r="D156" s="12">
        <v>2.23</v>
      </c>
      <c r="E156" s="17"/>
      <c r="F156" s="18"/>
      <c r="G156" s="19"/>
      <c r="H156" s="194"/>
      <c r="I156" s="188"/>
      <c r="J156" s="184"/>
      <c r="K156" s="184"/>
    </row>
    <row r="157" spans="1:11" x14ac:dyDescent="0.2">
      <c r="A157" s="10">
        <v>19632</v>
      </c>
      <c r="B157" s="11">
        <v>42474</v>
      </c>
      <c r="C157" s="12">
        <v>24.84</v>
      </c>
      <c r="D157" s="12">
        <v>1.89</v>
      </c>
      <c r="E157" s="17"/>
      <c r="F157" s="18"/>
      <c r="G157" s="19"/>
      <c r="H157" s="194"/>
      <c r="I157" s="188"/>
      <c r="J157" s="184"/>
      <c r="K157" s="184"/>
    </row>
    <row r="158" spans="1:11" x14ac:dyDescent="0.2">
      <c r="A158" s="10">
        <v>19633</v>
      </c>
      <c r="B158" s="11">
        <v>42474</v>
      </c>
      <c r="C158" s="12">
        <v>364</v>
      </c>
      <c r="D158" s="12">
        <v>27.74</v>
      </c>
      <c r="E158" s="17"/>
      <c r="F158" s="18"/>
      <c r="G158" s="19"/>
      <c r="H158" s="194"/>
      <c r="I158" s="188"/>
      <c r="J158" s="184"/>
      <c r="K158" s="184"/>
    </row>
    <row r="159" spans="1:11" x14ac:dyDescent="0.2">
      <c r="A159" s="10">
        <v>19634</v>
      </c>
      <c r="B159" s="11">
        <v>42474</v>
      </c>
      <c r="C159" s="12">
        <v>18.349999999999998</v>
      </c>
      <c r="D159" s="12">
        <v>1.4</v>
      </c>
      <c r="E159" s="15" t="s">
        <v>11</v>
      </c>
      <c r="F159" s="21"/>
      <c r="G159" s="22"/>
      <c r="H159" s="193"/>
      <c r="I159" s="188"/>
      <c r="J159" s="184"/>
      <c r="K159" s="184"/>
    </row>
    <row r="160" spans="1:11" x14ac:dyDescent="0.2">
      <c r="A160" s="10">
        <v>19635</v>
      </c>
      <c r="B160" s="11">
        <v>42474</v>
      </c>
      <c r="C160" s="12">
        <v>130.01</v>
      </c>
      <c r="D160" s="12">
        <v>9.91</v>
      </c>
      <c r="E160" s="13"/>
      <c r="F160" s="18"/>
      <c r="G160" s="19"/>
      <c r="H160" s="194"/>
      <c r="I160" s="188"/>
      <c r="J160" s="184"/>
      <c r="K160" s="184"/>
    </row>
    <row r="161" spans="1:11" x14ac:dyDescent="0.2">
      <c r="A161" s="10">
        <v>19636</v>
      </c>
      <c r="B161" s="11">
        <v>42474</v>
      </c>
      <c r="C161" s="12">
        <v>243.51</v>
      </c>
      <c r="D161" s="12">
        <v>18.559999999999999</v>
      </c>
      <c r="E161" s="13"/>
      <c r="F161" s="18"/>
      <c r="G161" s="19"/>
      <c r="H161" s="194"/>
      <c r="I161" s="188"/>
      <c r="J161" s="184"/>
      <c r="K161" s="184"/>
    </row>
    <row r="162" spans="1:11" x14ac:dyDescent="0.2">
      <c r="A162" s="10">
        <v>19637</v>
      </c>
      <c r="B162" s="11">
        <v>42474</v>
      </c>
      <c r="C162" s="12">
        <v>100.13</v>
      </c>
      <c r="D162" s="12">
        <v>7.63</v>
      </c>
      <c r="E162" s="13"/>
      <c r="F162" s="18"/>
      <c r="G162" s="19"/>
      <c r="H162" s="194"/>
      <c r="I162" s="188"/>
      <c r="J162" s="184"/>
      <c r="K162" s="184"/>
    </row>
    <row r="163" spans="1:11" x14ac:dyDescent="0.2">
      <c r="A163" s="10">
        <v>19638</v>
      </c>
      <c r="B163" s="11">
        <v>42474</v>
      </c>
      <c r="C163" s="12">
        <v>74.64</v>
      </c>
      <c r="D163" s="12">
        <v>5.69</v>
      </c>
      <c r="E163" s="15" t="s">
        <v>13</v>
      </c>
      <c r="F163" s="21"/>
      <c r="G163" s="22"/>
      <c r="H163" s="193"/>
      <c r="I163" s="188"/>
      <c r="J163" s="184"/>
      <c r="K163" s="184"/>
    </row>
    <row r="164" spans="1:11" x14ac:dyDescent="0.2">
      <c r="A164" s="10">
        <v>19639</v>
      </c>
      <c r="B164" s="11">
        <v>42474</v>
      </c>
      <c r="C164" s="12">
        <v>113.66</v>
      </c>
      <c r="D164" s="12">
        <v>8.66</v>
      </c>
      <c r="E164" s="15" t="s">
        <v>11</v>
      </c>
      <c r="F164" s="21"/>
      <c r="G164" s="22"/>
      <c r="H164" s="193"/>
      <c r="I164" s="188"/>
      <c r="J164" s="184"/>
      <c r="K164" s="184"/>
    </row>
    <row r="165" spans="1:11" x14ac:dyDescent="0.2">
      <c r="A165" s="10">
        <v>19640</v>
      </c>
      <c r="B165" s="11">
        <v>42474</v>
      </c>
      <c r="C165" s="12">
        <v>10.83</v>
      </c>
      <c r="D165" s="12">
        <v>0.83</v>
      </c>
      <c r="E165" s="15" t="s">
        <v>7</v>
      </c>
      <c r="F165" s="21"/>
      <c r="G165" s="22"/>
      <c r="H165" s="193"/>
      <c r="I165" s="188"/>
      <c r="J165" s="184"/>
      <c r="K165" s="184"/>
    </row>
    <row r="166" spans="1:11" x14ac:dyDescent="0.2">
      <c r="A166" s="10">
        <v>19641</v>
      </c>
      <c r="B166" s="11">
        <v>42474</v>
      </c>
      <c r="C166" s="12">
        <v>98.45</v>
      </c>
      <c r="D166" s="12">
        <v>7.5</v>
      </c>
      <c r="E166" s="15" t="s">
        <v>11</v>
      </c>
      <c r="F166" s="10"/>
      <c r="G166" s="10"/>
      <c r="H166" s="188"/>
      <c r="I166" s="188"/>
      <c r="J166" s="198"/>
      <c r="K166" s="198"/>
    </row>
    <row r="167" spans="1:11" x14ac:dyDescent="0.2">
      <c r="A167" s="10">
        <v>19642</v>
      </c>
      <c r="B167" s="11">
        <v>42474</v>
      </c>
      <c r="C167" s="12">
        <v>92.01</v>
      </c>
      <c r="D167" s="12">
        <v>7.01</v>
      </c>
      <c r="E167" s="15" t="s">
        <v>635</v>
      </c>
      <c r="F167" s="10"/>
      <c r="G167" s="10"/>
      <c r="H167" s="188"/>
      <c r="I167" s="188"/>
      <c r="J167" s="198"/>
      <c r="K167" s="198"/>
    </row>
    <row r="168" spans="1:11" x14ac:dyDescent="0.2">
      <c r="A168" s="10">
        <v>19643</v>
      </c>
      <c r="B168" s="11">
        <v>42474</v>
      </c>
      <c r="C168" s="12">
        <v>296.43999999999994</v>
      </c>
      <c r="D168" s="12">
        <v>22.59</v>
      </c>
      <c r="E168" s="13"/>
      <c r="F168" s="12"/>
      <c r="G168" s="12"/>
      <c r="H168" s="191"/>
      <c r="I168" s="188"/>
      <c r="J168" s="198"/>
      <c r="K168" s="198"/>
    </row>
    <row r="169" spans="1:11" x14ac:dyDescent="0.2">
      <c r="A169" s="10">
        <v>19644</v>
      </c>
      <c r="B169" s="11">
        <v>42474</v>
      </c>
      <c r="C169" s="12">
        <v>87.68</v>
      </c>
      <c r="D169" s="12">
        <v>6.68</v>
      </c>
      <c r="E169" s="15" t="s">
        <v>11</v>
      </c>
      <c r="F169" s="134">
        <f>+C159+C163+C164+C165+C166+C169</f>
        <v>403.61</v>
      </c>
      <c r="G169" s="123">
        <f>+F169*0.97831</f>
        <v>394.85569910000004</v>
      </c>
      <c r="H169" s="188"/>
      <c r="I169" s="188"/>
      <c r="J169" s="198"/>
      <c r="K169" s="198"/>
    </row>
    <row r="170" spans="1:11" x14ac:dyDescent="0.2">
      <c r="A170" s="10">
        <v>19645</v>
      </c>
      <c r="B170" s="11">
        <v>42475</v>
      </c>
      <c r="C170" s="12">
        <v>38.1</v>
      </c>
      <c r="D170" s="12">
        <v>2.9</v>
      </c>
      <c r="E170" s="15" t="s">
        <v>11</v>
      </c>
      <c r="F170" s="10"/>
      <c r="G170" s="10"/>
      <c r="H170" s="188"/>
      <c r="I170" s="188"/>
      <c r="J170" s="198"/>
      <c r="K170" s="198"/>
    </row>
    <row r="171" spans="1:11" x14ac:dyDescent="0.2">
      <c r="A171" s="10">
        <v>19646</v>
      </c>
      <c r="B171" s="11">
        <v>42475</v>
      </c>
      <c r="C171" s="12">
        <v>74.69</v>
      </c>
      <c r="D171" s="12">
        <v>5.69</v>
      </c>
      <c r="E171" s="15" t="s">
        <v>7</v>
      </c>
      <c r="F171" s="10"/>
      <c r="G171" s="10"/>
      <c r="H171" s="188"/>
      <c r="I171" s="188"/>
      <c r="J171" s="198"/>
      <c r="K171" s="198"/>
    </row>
    <row r="172" spans="1:11" x14ac:dyDescent="0.2">
      <c r="A172" s="10">
        <v>19647</v>
      </c>
      <c r="B172" s="11">
        <v>42475</v>
      </c>
      <c r="C172" s="12"/>
      <c r="D172" s="12"/>
      <c r="E172" s="15" t="s">
        <v>636</v>
      </c>
      <c r="F172" s="10"/>
      <c r="G172" s="10"/>
      <c r="H172" s="188"/>
      <c r="I172" s="188"/>
      <c r="J172" s="198"/>
      <c r="K172" s="198"/>
    </row>
    <row r="173" spans="1:11" x14ac:dyDescent="0.2">
      <c r="A173" s="10">
        <v>19648</v>
      </c>
      <c r="B173" s="11">
        <v>42475</v>
      </c>
      <c r="C173" s="12">
        <v>22.73</v>
      </c>
      <c r="D173" s="12">
        <v>1.73</v>
      </c>
      <c r="E173" s="15" t="s">
        <v>7</v>
      </c>
      <c r="F173" s="10"/>
      <c r="G173" s="10"/>
      <c r="H173" s="188"/>
      <c r="I173" s="188"/>
      <c r="J173" s="198"/>
      <c r="K173" s="198"/>
    </row>
    <row r="174" spans="1:11" x14ac:dyDescent="0.2">
      <c r="A174" s="10">
        <v>19649</v>
      </c>
      <c r="B174" s="11">
        <v>42475</v>
      </c>
      <c r="C174" s="12">
        <v>10.83</v>
      </c>
      <c r="D174" s="12">
        <v>0.83</v>
      </c>
      <c r="E174" s="13"/>
      <c r="F174" s="12"/>
      <c r="G174" s="12"/>
      <c r="H174" s="191"/>
      <c r="I174" s="188"/>
      <c r="J174" s="198"/>
      <c r="K174" s="198"/>
    </row>
    <row r="175" spans="1:11" x14ac:dyDescent="0.2">
      <c r="A175" s="10">
        <v>19650</v>
      </c>
      <c r="B175" s="11">
        <v>42475</v>
      </c>
      <c r="C175" s="12">
        <v>2.7</v>
      </c>
      <c r="D175" s="12">
        <v>0.21</v>
      </c>
      <c r="E175" s="15" t="s">
        <v>11</v>
      </c>
      <c r="F175" s="10"/>
      <c r="G175" s="10"/>
      <c r="H175" s="188"/>
      <c r="I175" s="188"/>
      <c r="J175" s="198"/>
      <c r="K175" s="198"/>
    </row>
    <row r="176" spans="1:11" x14ac:dyDescent="0.2">
      <c r="A176" s="10">
        <v>19651</v>
      </c>
      <c r="B176" s="11">
        <v>42475</v>
      </c>
      <c r="C176" s="12">
        <v>38.97</v>
      </c>
      <c r="D176" s="12">
        <v>2.97</v>
      </c>
      <c r="E176" s="15" t="s">
        <v>7</v>
      </c>
      <c r="F176" s="10"/>
      <c r="G176" s="10"/>
      <c r="H176" s="188"/>
      <c r="I176" s="188"/>
      <c r="J176" s="198"/>
      <c r="K176" s="198"/>
    </row>
    <row r="177" spans="1:13" x14ac:dyDescent="0.2">
      <c r="A177" s="10">
        <v>19652</v>
      </c>
      <c r="B177" s="11">
        <v>42475</v>
      </c>
      <c r="C177" s="12">
        <v>339.84999999999997</v>
      </c>
      <c r="D177" s="12">
        <v>25.9</v>
      </c>
      <c r="E177" s="15" t="s">
        <v>11</v>
      </c>
      <c r="F177" s="10"/>
      <c r="G177" s="10"/>
      <c r="H177" s="188"/>
      <c r="I177" s="188"/>
      <c r="J177" s="198"/>
      <c r="K177" s="198"/>
    </row>
    <row r="178" spans="1:13" x14ac:dyDescent="0.2">
      <c r="A178" s="10">
        <v>19653</v>
      </c>
      <c r="B178" s="11">
        <v>42475</v>
      </c>
      <c r="C178" s="12">
        <v>50</v>
      </c>
      <c r="D178" s="12"/>
      <c r="E178" s="13"/>
      <c r="F178" s="12"/>
      <c r="G178" s="12"/>
      <c r="H178" s="191"/>
      <c r="I178" s="188"/>
      <c r="J178" s="198"/>
      <c r="K178" s="198"/>
    </row>
    <row r="179" spans="1:13" x14ac:dyDescent="0.2">
      <c r="A179" s="10">
        <v>19654</v>
      </c>
      <c r="B179" s="11">
        <v>42475</v>
      </c>
      <c r="C179" s="12">
        <v>42.22</v>
      </c>
      <c r="D179" s="12">
        <v>3.22</v>
      </c>
      <c r="E179" s="15" t="s">
        <v>11</v>
      </c>
      <c r="F179" s="10"/>
      <c r="G179" s="10"/>
      <c r="H179" s="188"/>
      <c r="I179" s="188"/>
      <c r="J179" s="198"/>
      <c r="K179" s="198"/>
    </row>
    <row r="180" spans="1:13" x14ac:dyDescent="0.2">
      <c r="A180" s="10">
        <v>19655</v>
      </c>
      <c r="B180" s="11">
        <v>42475</v>
      </c>
      <c r="C180" s="12">
        <v>140</v>
      </c>
      <c r="D180" s="12"/>
      <c r="E180" s="13"/>
      <c r="F180" s="12"/>
      <c r="G180" s="12"/>
      <c r="H180" s="191"/>
      <c r="I180" s="188"/>
      <c r="J180" s="198"/>
      <c r="K180" s="198"/>
    </row>
    <row r="181" spans="1:13" x14ac:dyDescent="0.2">
      <c r="A181" s="10">
        <v>19656</v>
      </c>
      <c r="B181" s="11">
        <v>42475</v>
      </c>
      <c r="C181" s="12">
        <v>25.98</v>
      </c>
      <c r="D181" s="12">
        <v>1.98</v>
      </c>
      <c r="E181" s="13"/>
      <c r="F181" s="12"/>
      <c r="G181" s="12"/>
      <c r="H181" s="191"/>
      <c r="I181" s="188"/>
      <c r="J181" s="198"/>
      <c r="K181" s="198"/>
    </row>
    <row r="182" spans="1:13" x14ac:dyDescent="0.2">
      <c r="A182" s="10">
        <v>19657</v>
      </c>
      <c r="B182" s="11">
        <v>42475</v>
      </c>
      <c r="C182" s="12">
        <v>130.97999999999999</v>
      </c>
      <c r="D182" s="12">
        <v>9.98</v>
      </c>
      <c r="E182" s="15" t="s">
        <v>11</v>
      </c>
      <c r="F182" s="10"/>
      <c r="G182" s="10"/>
      <c r="H182" s="188"/>
      <c r="I182" s="188"/>
      <c r="J182" s="198"/>
      <c r="K182" s="198"/>
    </row>
    <row r="183" spans="1:13" x14ac:dyDescent="0.2">
      <c r="A183" s="10">
        <v>19658</v>
      </c>
      <c r="B183" s="11">
        <v>42475</v>
      </c>
      <c r="C183" s="12">
        <v>23.82</v>
      </c>
      <c r="D183" s="12">
        <v>1.82</v>
      </c>
      <c r="E183" s="13"/>
      <c r="F183" s="134">
        <f>+C170+C171+C173+C175+C176+C177++C182</f>
        <v>648.02</v>
      </c>
      <c r="G183" s="123">
        <f>+F183*0.97831</f>
        <v>633.9644462</v>
      </c>
      <c r="H183" s="191"/>
      <c r="I183" s="188"/>
      <c r="J183" s="198"/>
      <c r="K183" s="198"/>
    </row>
    <row r="184" spans="1:13" x14ac:dyDescent="0.2">
      <c r="A184" s="10">
        <v>19659</v>
      </c>
      <c r="B184" s="11">
        <v>42476</v>
      </c>
      <c r="C184" s="12">
        <v>248.43</v>
      </c>
      <c r="D184" s="12">
        <v>18.93</v>
      </c>
      <c r="E184" s="15" t="s">
        <v>635</v>
      </c>
      <c r="F184" s="10"/>
      <c r="G184" s="10"/>
      <c r="H184" s="188"/>
      <c r="I184" s="188"/>
      <c r="J184" s="198"/>
      <c r="K184" s="198"/>
    </row>
    <row r="185" spans="1:13" x14ac:dyDescent="0.2">
      <c r="A185" s="10">
        <v>19660</v>
      </c>
      <c r="B185" s="11">
        <v>42476</v>
      </c>
      <c r="C185" s="12">
        <v>86.6</v>
      </c>
      <c r="D185" s="12">
        <v>6.6</v>
      </c>
      <c r="E185" s="15" t="s">
        <v>11</v>
      </c>
      <c r="F185" s="10"/>
      <c r="G185" s="10"/>
      <c r="H185" s="188"/>
      <c r="I185" s="188"/>
      <c r="J185" s="198"/>
      <c r="K185" s="198"/>
    </row>
    <row r="186" spans="1:13" x14ac:dyDescent="0.2">
      <c r="A186" s="10">
        <v>19661</v>
      </c>
      <c r="B186" s="11">
        <v>42476</v>
      </c>
      <c r="C186" s="12">
        <v>16.18</v>
      </c>
      <c r="D186" s="12">
        <v>1.23</v>
      </c>
      <c r="E186" s="15" t="s">
        <v>7</v>
      </c>
      <c r="F186" s="10"/>
      <c r="G186" s="10"/>
      <c r="H186" s="188"/>
      <c r="I186" s="188"/>
      <c r="J186" s="198"/>
      <c r="K186" s="198"/>
    </row>
    <row r="187" spans="1:13" x14ac:dyDescent="0.2">
      <c r="A187" s="10">
        <v>19662</v>
      </c>
      <c r="B187" s="11">
        <v>42476</v>
      </c>
      <c r="C187" s="12">
        <v>16.18</v>
      </c>
      <c r="D187" s="12">
        <v>1.23</v>
      </c>
      <c r="E187" s="13"/>
      <c r="F187" s="12"/>
      <c r="G187" s="12"/>
      <c r="H187" s="191"/>
      <c r="I187" s="188"/>
      <c r="J187" s="198"/>
      <c r="K187" s="198"/>
    </row>
    <row r="188" spans="1:13" x14ac:dyDescent="0.2">
      <c r="A188" s="10">
        <v>19663</v>
      </c>
      <c r="B188" s="11">
        <v>42476</v>
      </c>
      <c r="C188" s="12"/>
      <c r="D188" s="12"/>
      <c r="E188" s="13" t="s">
        <v>637</v>
      </c>
      <c r="F188" s="12"/>
      <c r="G188" s="12"/>
      <c r="H188" s="191"/>
      <c r="I188" s="188"/>
      <c r="J188" s="198"/>
      <c r="K188" s="198"/>
    </row>
    <row r="189" spans="1:13" x14ac:dyDescent="0.2">
      <c r="A189" s="10">
        <v>19664</v>
      </c>
      <c r="B189" s="11">
        <v>42476</v>
      </c>
      <c r="C189" s="12">
        <v>153.72</v>
      </c>
      <c r="D189" s="12">
        <v>11.72</v>
      </c>
      <c r="E189" s="15" t="s">
        <v>11</v>
      </c>
      <c r="F189" s="10"/>
      <c r="G189" s="10"/>
      <c r="H189" s="188"/>
      <c r="I189" s="188"/>
      <c r="J189" s="198"/>
      <c r="K189" s="198"/>
    </row>
    <row r="190" spans="1:13" x14ac:dyDescent="0.2">
      <c r="A190" s="10">
        <v>19665</v>
      </c>
      <c r="B190" s="11">
        <v>42476</v>
      </c>
      <c r="C190" s="12">
        <v>284.16000000000003</v>
      </c>
      <c r="D190" s="12">
        <v>21.66</v>
      </c>
      <c r="E190" s="15" t="s">
        <v>21</v>
      </c>
      <c r="F190" s="10"/>
      <c r="G190" s="10"/>
      <c r="H190" s="4"/>
    </row>
    <row r="191" spans="1:13" x14ac:dyDescent="0.2">
      <c r="A191" s="10">
        <v>19666</v>
      </c>
      <c r="B191" s="11">
        <v>42478</v>
      </c>
      <c r="C191" s="12">
        <v>272.25</v>
      </c>
      <c r="D191" s="12">
        <v>20.75</v>
      </c>
      <c r="E191" s="15" t="s">
        <v>7</v>
      </c>
      <c r="F191" s="134">
        <f>+C185+C186+C189+C191</f>
        <v>528.75</v>
      </c>
      <c r="G191" s="123">
        <f>+F191*0.97831</f>
        <v>517.28141249999999</v>
      </c>
      <c r="H191" s="183"/>
      <c r="I191" s="183"/>
      <c r="J191" s="78"/>
      <c r="K191" s="78"/>
      <c r="L191" s="77"/>
      <c r="M191" s="77"/>
    </row>
    <row r="192" spans="1:13" x14ac:dyDescent="0.2">
      <c r="A192" s="10">
        <v>19667</v>
      </c>
      <c r="B192" s="11">
        <v>42478</v>
      </c>
      <c r="C192" s="12">
        <v>37</v>
      </c>
      <c r="D192" s="12"/>
      <c r="E192" s="13" t="s">
        <v>8</v>
      </c>
      <c r="F192" s="18"/>
      <c r="G192" s="19"/>
      <c r="H192" s="185"/>
      <c r="I192" s="183"/>
      <c r="J192" s="78"/>
      <c r="K192" s="78"/>
      <c r="L192" s="77"/>
      <c r="M192" s="77"/>
    </row>
    <row r="193" spans="1:13" x14ac:dyDescent="0.2">
      <c r="A193" s="10">
        <v>19668</v>
      </c>
      <c r="B193" s="11">
        <v>42478</v>
      </c>
      <c r="C193" s="12">
        <v>19.489999999999998</v>
      </c>
      <c r="D193" s="12">
        <v>1.49</v>
      </c>
      <c r="E193" s="15" t="s">
        <v>11</v>
      </c>
      <c r="F193" s="21"/>
      <c r="G193" s="22"/>
      <c r="H193" s="183"/>
      <c r="I193" s="183"/>
      <c r="J193" s="78"/>
      <c r="K193" s="78"/>
      <c r="L193" s="77"/>
      <c r="M193" s="77"/>
    </row>
    <row r="194" spans="1:13" x14ac:dyDescent="0.2">
      <c r="A194" s="10">
        <v>19669</v>
      </c>
      <c r="B194" s="11">
        <v>42478</v>
      </c>
      <c r="C194" s="12">
        <v>165</v>
      </c>
      <c r="D194" s="12">
        <v>12.58</v>
      </c>
      <c r="E194" s="13"/>
      <c r="F194" s="18"/>
      <c r="G194" s="19"/>
      <c r="H194" s="185"/>
      <c r="I194" s="183"/>
      <c r="J194" s="78"/>
      <c r="K194" s="78"/>
      <c r="L194" s="77"/>
      <c r="M194" s="77"/>
    </row>
    <row r="195" spans="1:13" x14ac:dyDescent="0.2">
      <c r="A195" s="10">
        <v>19670</v>
      </c>
      <c r="B195" s="11">
        <v>42478</v>
      </c>
      <c r="C195" s="12">
        <v>19.05</v>
      </c>
      <c r="D195" s="12">
        <v>1.45</v>
      </c>
      <c r="E195" s="15" t="s">
        <v>11</v>
      </c>
      <c r="F195" s="21"/>
      <c r="G195" s="22"/>
      <c r="H195" s="183"/>
      <c r="I195" s="183"/>
      <c r="J195" s="78"/>
      <c r="K195" s="78"/>
      <c r="L195" s="77"/>
      <c r="M195" s="77"/>
    </row>
    <row r="196" spans="1:13" x14ac:dyDescent="0.2">
      <c r="A196" s="10">
        <v>19671</v>
      </c>
      <c r="B196" s="11">
        <v>42478</v>
      </c>
      <c r="C196" s="12">
        <v>57.37</v>
      </c>
      <c r="D196" s="12">
        <v>4.37</v>
      </c>
      <c r="E196" s="13"/>
      <c r="F196" s="18"/>
      <c r="G196" s="19"/>
      <c r="H196" s="185"/>
      <c r="I196" s="183"/>
      <c r="J196" s="78"/>
      <c r="K196" s="78"/>
      <c r="L196" s="77"/>
      <c r="M196" s="77"/>
    </row>
    <row r="197" spans="1:13" x14ac:dyDescent="0.2">
      <c r="A197" s="10">
        <v>19672</v>
      </c>
      <c r="B197" s="11">
        <v>42478</v>
      </c>
      <c r="C197" s="12">
        <v>86.6</v>
      </c>
      <c r="D197" s="12">
        <v>6.6</v>
      </c>
      <c r="E197" s="13"/>
      <c r="F197" s="18"/>
      <c r="G197" s="19"/>
      <c r="H197" s="185"/>
      <c r="I197" s="183"/>
      <c r="J197" s="78"/>
      <c r="K197" s="78"/>
      <c r="L197" s="77"/>
      <c r="M197" s="77"/>
    </row>
    <row r="198" spans="1:13" x14ac:dyDescent="0.2">
      <c r="A198" s="10">
        <v>19673</v>
      </c>
      <c r="B198" s="11">
        <v>42478</v>
      </c>
      <c r="C198" s="12">
        <v>139.63999999999999</v>
      </c>
      <c r="D198" s="12">
        <v>10.64</v>
      </c>
      <c r="E198" s="13"/>
      <c r="F198" s="18"/>
      <c r="G198" s="19"/>
      <c r="H198" s="185"/>
      <c r="I198" s="183"/>
      <c r="J198" s="78"/>
      <c r="K198" s="78"/>
      <c r="L198" s="77"/>
      <c r="M198" s="77"/>
    </row>
    <row r="199" spans="1:13" x14ac:dyDescent="0.2">
      <c r="A199" s="10">
        <v>19674</v>
      </c>
      <c r="B199" s="11">
        <v>42478</v>
      </c>
      <c r="C199" s="12">
        <v>62.48</v>
      </c>
      <c r="D199" s="12">
        <v>2.48</v>
      </c>
      <c r="E199" s="15" t="s">
        <v>7</v>
      </c>
      <c r="F199" s="134">
        <f>+C193+C195+C199+185.05</f>
        <v>286.07</v>
      </c>
      <c r="G199" s="123">
        <f>+F199*0.97831</f>
        <v>279.86514169999998</v>
      </c>
      <c r="H199" s="183"/>
      <c r="I199" s="183"/>
      <c r="J199" s="78"/>
      <c r="K199" s="78"/>
      <c r="L199" s="77"/>
      <c r="M199" s="77"/>
    </row>
    <row r="200" spans="1:13" x14ac:dyDescent="0.2">
      <c r="A200" s="10">
        <v>19675</v>
      </c>
      <c r="B200" s="11">
        <v>42479</v>
      </c>
      <c r="C200" s="12">
        <v>280.91000000000003</v>
      </c>
      <c r="D200" s="12">
        <v>21.41</v>
      </c>
      <c r="E200" s="15" t="s">
        <v>11</v>
      </c>
      <c r="H200" s="183"/>
      <c r="I200" s="183"/>
      <c r="J200" s="78"/>
      <c r="K200" s="78"/>
      <c r="L200" s="77"/>
      <c r="M200" s="77"/>
    </row>
    <row r="201" spans="1:13" x14ac:dyDescent="0.2">
      <c r="A201" s="10">
        <v>19676</v>
      </c>
      <c r="B201" s="11">
        <v>42479</v>
      </c>
      <c r="C201" s="12">
        <v>10.83</v>
      </c>
      <c r="D201" s="12">
        <v>0.83</v>
      </c>
      <c r="E201" s="17"/>
      <c r="H201" s="185"/>
      <c r="I201" s="183"/>
      <c r="J201" s="78"/>
      <c r="K201" s="78"/>
      <c r="L201" s="77"/>
      <c r="M201" s="77"/>
    </row>
    <row r="202" spans="1:13" x14ac:dyDescent="0.2">
      <c r="A202" s="10">
        <v>19677</v>
      </c>
      <c r="B202" s="11">
        <v>42479</v>
      </c>
      <c r="C202" s="12">
        <v>124.49</v>
      </c>
      <c r="D202" s="12">
        <v>9.49</v>
      </c>
      <c r="E202" s="17"/>
      <c r="F202" s="18"/>
      <c r="G202" s="19"/>
      <c r="H202" s="185"/>
      <c r="I202" s="183"/>
      <c r="J202" s="78"/>
      <c r="K202" s="78"/>
      <c r="L202" s="77"/>
      <c r="M202" s="77"/>
    </row>
    <row r="203" spans="1:13" x14ac:dyDescent="0.2">
      <c r="A203" s="10">
        <v>19678</v>
      </c>
      <c r="B203" s="11">
        <v>42479</v>
      </c>
      <c r="C203" s="12">
        <v>32.42</v>
      </c>
      <c r="D203" s="12">
        <v>2.4700000000000002</v>
      </c>
      <c r="E203" s="17"/>
      <c r="H203" s="185"/>
      <c r="I203" s="183"/>
      <c r="J203" s="78"/>
      <c r="K203" s="78"/>
      <c r="L203" s="77"/>
      <c r="M203" s="77"/>
    </row>
    <row r="204" spans="1:13" x14ac:dyDescent="0.2">
      <c r="A204" s="10">
        <v>19679</v>
      </c>
      <c r="B204" s="11">
        <v>42479</v>
      </c>
      <c r="C204" s="12">
        <v>150.47</v>
      </c>
      <c r="D204" s="12">
        <v>11.47</v>
      </c>
      <c r="E204" s="13" t="s">
        <v>638</v>
      </c>
      <c r="H204" s="185"/>
      <c r="I204" s="183"/>
      <c r="J204" s="78"/>
      <c r="K204" s="78"/>
      <c r="L204" s="77"/>
      <c r="M204" s="77"/>
    </row>
    <row r="205" spans="1:13" x14ac:dyDescent="0.2">
      <c r="A205" s="10">
        <v>19680</v>
      </c>
      <c r="B205" s="11">
        <v>42479</v>
      </c>
      <c r="C205" s="12">
        <v>8.61</v>
      </c>
      <c r="D205" s="12">
        <v>0.66</v>
      </c>
      <c r="E205" s="15" t="s">
        <v>11</v>
      </c>
      <c r="F205" s="21"/>
      <c r="G205" s="22"/>
      <c r="H205" s="183"/>
      <c r="I205" s="183"/>
      <c r="J205" s="78"/>
      <c r="K205" s="78"/>
      <c r="L205" s="77"/>
      <c r="M205" s="77"/>
    </row>
    <row r="206" spans="1:13" x14ac:dyDescent="0.2">
      <c r="A206" s="10">
        <v>19681</v>
      </c>
      <c r="B206" s="11">
        <v>42479</v>
      </c>
      <c r="C206" s="12">
        <v>387</v>
      </c>
      <c r="D206" s="12">
        <v>29.49</v>
      </c>
      <c r="E206" s="15"/>
      <c r="H206" s="183"/>
      <c r="I206" s="183"/>
      <c r="J206" s="78"/>
      <c r="K206" s="78"/>
      <c r="L206" s="77"/>
      <c r="M206" s="77"/>
    </row>
    <row r="207" spans="1:13" x14ac:dyDescent="0.2">
      <c r="A207" s="10">
        <v>19682</v>
      </c>
      <c r="B207" s="11">
        <v>42479</v>
      </c>
      <c r="C207" s="12">
        <v>200</v>
      </c>
      <c r="D207" s="12">
        <v>15.24</v>
      </c>
      <c r="E207" s="17"/>
      <c r="F207" s="134">
        <f>+C205</f>
        <v>8.61</v>
      </c>
      <c r="G207" s="123">
        <f>+F207*0.97831</f>
        <v>8.4232490999999996</v>
      </c>
      <c r="H207" s="185"/>
      <c r="I207" s="183"/>
      <c r="J207" s="78"/>
      <c r="K207" s="78"/>
      <c r="L207" s="77"/>
      <c r="M207" s="77"/>
    </row>
    <row r="208" spans="1:13" x14ac:dyDescent="0.2">
      <c r="A208" s="10">
        <v>19683</v>
      </c>
      <c r="B208" s="11">
        <v>42480</v>
      </c>
      <c r="C208" s="12">
        <v>261.97000000000003</v>
      </c>
      <c r="D208" s="12">
        <v>19.97</v>
      </c>
      <c r="E208" s="15" t="s">
        <v>11</v>
      </c>
      <c r="F208" s="21"/>
      <c r="G208" s="22"/>
      <c r="H208" s="183"/>
      <c r="I208" s="183"/>
      <c r="J208" s="78"/>
      <c r="K208" s="78"/>
      <c r="L208" s="77"/>
      <c r="M208" s="77"/>
    </row>
    <row r="209" spans="1:13" x14ac:dyDescent="0.2">
      <c r="A209" s="10">
        <v>19684</v>
      </c>
      <c r="B209" s="11">
        <v>42480</v>
      </c>
      <c r="C209" s="12">
        <v>39.78</v>
      </c>
      <c r="D209" s="12">
        <v>3.03</v>
      </c>
      <c r="E209" s="13"/>
      <c r="F209" s="18"/>
      <c r="G209" s="19"/>
      <c r="H209" s="185"/>
      <c r="I209" s="183"/>
      <c r="J209" s="78"/>
      <c r="K209" s="78"/>
      <c r="L209" s="77"/>
      <c r="M209" s="77"/>
    </row>
    <row r="210" spans="1:13" x14ac:dyDescent="0.2">
      <c r="A210" s="10">
        <v>19685</v>
      </c>
      <c r="B210" s="11">
        <v>42480</v>
      </c>
      <c r="C210" s="12">
        <v>214.34</v>
      </c>
      <c r="D210" s="12">
        <v>16.34</v>
      </c>
      <c r="E210" s="15" t="s">
        <v>21</v>
      </c>
      <c r="F210" s="21"/>
      <c r="G210" s="22"/>
      <c r="H210" s="183"/>
      <c r="I210" s="183"/>
      <c r="J210" s="78"/>
      <c r="K210" s="78"/>
      <c r="L210" s="77"/>
      <c r="M210" s="77"/>
    </row>
    <row r="211" spans="1:13" x14ac:dyDescent="0.2">
      <c r="A211" s="10">
        <v>19686</v>
      </c>
      <c r="B211" s="11">
        <v>42480</v>
      </c>
      <c r="C211" s="12">
        <v>63.27</v>
      </c>
      <c r="D211" s="12">
        <v>4.82</v>
      </c>
      <c r="E211" s="15" t="s">
        <v>11</v>
      </c>
      <c r="F211" s="134">
        <f>+C208</f>
        <v>261.97000000000003</v>
      </c>
      <c r="G211" s="123">
        <f>+F211*0.97831</f>
        <v>256.28787070000004</v>
      </c>
      <c r="H211" s="183"/>
      <c r="I211" s="183"/>
      <c r="J211" s="78"/>
      <c r="K211" s="78"/>
      <c r="L211" s="77"/>
      <c r="M211" s="77"/>
    </row>
    <row r="212" spans="1:13" x14ac:dyDescent="0.2">
      <c r="A212" s="10">
        <v>19687</v>
      </c>
      <c r="B212" s="11">
        <v>42481</v>
      </c>
      <c r="C212" s="12">
        <v>116.37</v>
      </c>
      <c r="D212" s="12">
        <v>8.8699999999999992</v>
      </c>
      <c r="E212" s="17"/>
      <c r="F212" s="18"/>
      <c r="G212" s="19"/>
      <c r="H212" s="185"/>
      <c r="I212" s="183"/>
      <c r="J212" s="78"/>
      <c r="K212" s="78"/>
      <c r="L212" s="77"/>
      <c r="M212" s="77"/>
    </row>
    <row r="213" spans="1:13" x14ac:dyDescent="0.2">
      <c r="A213" s="10">
        <v>19688</v>
      </c>
      <c r="B213" s="11">
        <v>42481</v>
      </c>
      <c r="C213" s="12">
        <v>46.01</v>
      </c>
      <c r="D213" s="12">
        <v>3.51</v>
      </c>
      <c r="E213" s="15" t="s">
        <v>7</v>
      </c>
      <c r="F213" s="21"/>
      <c r="G213" s="22"/>
      <c r="H213" s="183"/>
      <c r="I213" s="183"/>
      <c r="J213" s="78"/>
      <c r="K213" s="78"/>
      <c r="L213" s="77"/>
      <c r="M213" s="77"/>
    </row>
    <row r="214" spans="1:13" x14ac:dyDescent="0.2">
      <c r="A214" s="10">
        <v>19689</v>
      </c>
      <c r="B214" s="11">
        <v>42481</v>
      </c>
      <c r="C214" s="12">
        <v>32.479999999999997</v>
      </c>
      <c r="D214" s="12">
        <v>2.48</v>
      </c>
      <c r="E214" s="15" t="s">
        <v>11</v>
      </c>
      <c r="H214" s="183"/>
      <c r="I214" s="183"/>
      <c r="J214" s="78"/>
      <c r="K214" s="78"/>
      <c r="L214" s="77"/>
      <c r="M214" s="77"/>
    </row>
    <row r="215" spans="1:13" x14ac:dyDescent="0.2">
      <c r="A215" s="10">
        <v>19690</v>
      </c>
      <c r="B215" s="11">
        <v>42481</v>
      </c>
      <c r="C215" s="12">
        <v>90.85</v>
      </c>
      <c r="D215" s="12"/>
      <c r="E215" s="15" t="s">
        <v>97</v>
      </c>
      <c r="F215" s="21"/>
      <c r="G215" s="22"/>
      <c r="H215" s="183"/>
      <c r="I215" s="183"/>
      <c r="J215" s="78"/>
      <c r="K215" s="78"/>
      <c r="L215" s="77"/>
      <c r="M215" s="77"/>
    </row>
    <row r="216" spans="1:13" x14ac:dyDescent="0.2">
      <c r="A216" s="10">
        <v>19691</v>
      </c>
      <c r="B216" s="11">
        <v>42481</v>
      </c>
      <c r="C216" s="12">
        <v>25.2</v>
      </c>
      <c r="D216" s="12"/>
      <c r="E216" s="15" t="s">
        <v>17</v>
      </c>
      <c r="H216" s="183"/>
      <c r="I216" s="183"/>
      <c r="J216" s="78"/>
      <c r="K216" s="78"/>
      <c r="L216" s="77"/>
      <c r="M216" s="77"/>
    </row>
    <row r="217" spans="1:13" x14ac:dyDescent="0.2">
      <c r="A217" s="10">
        <v>19692</v>
      </c>
      <c r="B217" s="11">
        <v>42475</v>
      </c>
      <c r="C217" s="12">
        <v>-277.60000000000002</v>
      </c>
      <c r="D217" s="12">
        <v>-21.16</v>
      </c>
      <c r="E217" s="17"/>
      <c r="H217" s="185"/>
      <c r="I217" s="183"/>
      <c r="J217" s="78"/>
      <c r="K217" s="78"/>
      <c r="L217" s="77"/>
      <c r="M217" s="77"/>
    </row>
    <row r="218" spans="1:13" x14ac:dyDescent="0.2">
      <c r="A218" s="10">
        <v>19693</v>
      </c>
      <c r="B218" s="11">
        <v>42475</v>
      </c>
      <c r="C218" s="12">
        <v>240</v>
      </c>
      <c r="D218" s="12">
        <v>18.29</v>
      </c>
      <c r="E218" s="17"/>
      <c r="H218" s="185"/>
      <c r="I218" s="183"/>
      <c r="J218" s="78"/>
      <c r="K218" s="78"/>
      <c r="L218" s="77"/>
      <c r="M218" s="77"/>
    </row>
    <row r="219" spans="1:13" x14ac:dyDescent="0.2">
      <c r="A219" s="10">
        <v>19694</v>
      </c>
      <c r="B219" s="11">
        <v>42475</v>
      </c>
      <c r="C219" s="185">
        <v>96</v>
      </c>
      <c r="D219" s="185">
        <v>7.31</v>
      </c>
      <c r="E219" s="195" t="s">
        <v>533</v>
      </c>
      <c r="F219" s="21"/>
      <c r="G219" s="19">
        <f>+C219+C222+C223+C224+C225+C226+C229+C227+C232</f>
        <v>1551</v>
      </c>
      <c r="H219" s="185"/>
      <c r="I219" s="183"/>
      <c r="J219" s="78"/>
      <c r="K219" s="78"/>
      <c r="L219" s="77"/>
      <c r="M219" s="77"/>
    </row>
    <row r="220" spans="1:13" x14ac:dyDescent="0.2">
      <c r="A220" s="10">
        <v>19695</v>
      </c>
      <c r="B220" s="11">
        <v>42475</v>
      </c>
      <c r="C220" s="185">
        <v>240</v>
      </c>
      <c r="D220" s="185">
        <v>18.29</v>
      </c>
      <c r="E220" s="218"/>
      <c r="F220" s="18"/>
      <c r="G220" s="19"/>
      <c r="H220" s="185"/>
      <c r="I220" s="183"/>
      <c r="J220" s="78"/>
      <c r="K220" s="78"/>
      <c r="L220" s="77"/>
      <c r="M220" s="77"/>
    </row>
    <row r="221" spans="1:13" x14ac:dyDescent="0.2">
      <c r="A221" s="10">
        <v>19696</v>
      </c>
      <c r="B221" s="11">
        <v>42476</v>
      </c>
      <c r="C221" s="185">
        <v>74.999999999999986</v>
      </c>
      <c r="D221" s="185">
        <v>5.71</v>
      </c>
      <c r="E221" s="218"/>
      <c r="F221" s="18"/>
      <c r="G221" s="19"/>
      <c r="H221" s="185"/>
      <c r="I221" s="183"/>
      <c r="J221" s="78"/>
      <c r="K221" s="78"/>
      <c r="L221" s="77"/>
      <c r="M221" s="77"/>
    </row>
    <row r="222" spans="1:13" x14ac:dyDescent="0.2">
      <c r="A222" s="10">
        <v>19697</v>
      </c>
      <c r="B222" s="11">
        <v>42476</v>
      </c>
      <c r="C222" s="185">
        <v>240</v>
      </c>
      <c r="D222" s="185">
        <v>18.29</v>
      </c>
      <c r="E222" s="195" t="s">
        <v>533</v>
      </c>
      <c r="F222" s="21"/>
      <c r="G222" s="22"/>
      <c r="H222" s="185"/>
      <c r="I222" s="183"/>
      <c r="J222" s="78"/>
      <c r="K222" s="78"/>
      <c r="L222" s="77"/>
      <c r="M222" s="77"/>
    </row>
    <row r="223" spans="1:13" x14ac:dyDescent="0.2">
      <c r="A223" s="10">
        <v>19698</v>
      </c>
      <c r="B223" s="11">
        <v>42476</v>
      </c>
      <c r="C223" s="185">
        <v>240</v>
      </c>
      <c r="D223" s="185">
        <v>18.29</v>
      </c>
      <c r="E223" s="195" t="s">
        <v>533</v>
      </c>
      <c r="F223" s="21"/>
      <c r="G223" s="22"/>
      <c r="H223" s="185"/>
      <c r="I223" s="183"/>
      <c r="J223" s="78"/>
      <c r="K223" s="78"/>
      <c r="L223" s="77"/>
      <c r="M223" s="77"/>
    </row>
    <row r="224" spans="1:13" x14ac:dyDescent="0.2">
      <c r="A224" s="10">
        <v>19699</v>
      </c>
      <c r="B224" s="11">
        <v>42476</v>
      </c>
      <c r="C224" s="185">
        <v>85</v>
      </c>
      <c r="D224" s="185">
        <v>6.47</v>
      </c>
      <c r="E224" s="195" t="s">
        <v>533</v>
      </c>
      <c r="H224" s="185"/>
      <c r="I224" s="183"/>
      <c r="J224" s="78"/>
      <c r="K224" s="78"/>
      <c r="L224" s="77"/>
      <c r="M224" s="77"/>
    </row>
    <row r="225" spans="1:13" x14ac:dyDescent="0.2">
      <c r="A225" s="10">
        <v>19700</v>
      </c>
      <c r="B225" s="11">
        <v>42476</v>
      </c>
      <c r="C225" s="185">
        <v>220.00000000000003</v>
      </c>
      <c r="D225" s="185">
        <v>16.77</v>
      </c>
      <c r="E225" s="195" t="s">
        <v>533</v>
      </c>
      <c r="F225" s="21"/>
      <c r="G225" s="22"/>
      <c r="H225" s="183"/>
      <c r="I225" s="183"/>
      <c r="J225" s="78"/>
      <c r="K225" s="78"/>
      <c r="L225" s="77"/>
      <c r="M225" s="77"/>
    </row>
    <row r="226" spans="1:13" x14ac:dyDescent="0.2">
      <c r="A226" s="10">
        <v>19701</v>
      </c>
      <c r="B226" s="11">
        <v>42476</v>
      </c>
      <c r="C226" s="185">
        <v>150</v>
      </c>
      <c r="D226" s="185">
        <v>11.43</v>
      </c>
      <c r="E226" s="195" t="s">
        <v>533</v>
      </c>
      <c r="F226" s="21"/>
      <c r="G226" s="22"/>
      <c r="H226" s="183"/>
      <c r="I226" s="183"/>
      <c r="J226" s="78"/>
      <c r="K226" s="78"/>
      <c r="L226" s="77"/>
      <c r="M226" s="77"/>
    </row>
    <row r="227" spans="1:13" x14ac:dyDescent="0.2">
      <c r="A227" s="10">
        <v>19702</v>
      </c>
      <c r="B227" s="11">
        <v>42476</v>
      </c>
      <c r="C227" s="12">
        <v>180</v>
      </c>
      <c r="D227" s="12">
        <v>13.72</v>
      </c>
      <c r="E227" s="13" t="s">
        <v>533</v>
      </c>
      <c r="F227" s="18"/>
      <c r="G227" s="19"/>
      <c r="H227" s="185"/>
      <c r="I227" s="183"/>
      <c r="J227" s="78"/>
      <c r="K227" s="78"/>
      <c r="L227" s="77"/>
      <c r="M227" s="77"/>
    </row>
    <row r="228" spans="1:13" x14ac:dyDescent="0.2">
      <c r="A228" s="10">
        <v>19703</v>
      </c>
      <c r="B228" s="11">
        <v>42476</v>
      </c>
      <c r="C228" s="12">
        <v>125</v>
      </c>
      <c r="D228" s="12">
        <v>9.5299999999999994</v>
      </c>
      <c r="E228" s="17"/>
      <c r="F228" s="18"/>
      <c r="G228" s="19"/>
      <c r="H228" s="185"/>
      <c r="I228" s="183"/>
      <c r="J228" s="78"/>
      <c r="K228" s="78"/>
      <c r="L228" s="77"/>
      <c r="M228" s="77"/>
    </row>
    <row r="229" spans="1:13" x14ac:dyDescent="0.2">
      <c r="A229" s="10">
        <v>19704</v>
      </c>
      <c r="B229" s="11">
        <v>42476</v>
      </c>
      <c r="C229" s="12">
        <v>160</v>
      </c>
      <c r="D229" s="12">
        <v>12.19</v>
      </c>
      <c r="E229" s="15" t="s">
        <v>533</v>
      </c>
      <c r="F229" s="21"/>
      <c r="G229" s="22"/>
      <c r="H229" s="183"/>
      <c r="I229" s="183"/>
      <c r="J229" s="78"/>
      <c r="K229" s="78"/>
      <c r="L229" s="77"/>
      <c r="M229" s="77"/>
    </row>
    <row r="230" spans="1:13" x14ac:dyDescent="0.2">
      <c r="A230" s="10">
        <v>19705</v>
      </c>
      <c r="B230" s="11">
        <v>42476</v>
      </c>
      <c r="C230" s="12">
        <v>125</v>
      </c>
      <c r="D230" s="12">
        <v>9.5299999999999994</v>
      </c>
      <c r="E230" s="17"/>
      <c r="H230" s="185"/>
      <c r="I230" s="183"/>
      <c r="J230" s="78"/>
      <c r="K230" s="78"/>
      <c r="L230" s="77"/>
      <c r="M230" s="77"/>
    </row>
    <row r="231" spans="1:13" x14ac:dyDescent="0.2">
      <c r="A231" s="10">
        <v>19706</v>
      </c>
      <c r="B231" s="11">
        <v>42477</v>
      </c>
      <c r="C231" s="12">
        <v>110</v>
      </c>
      <c r="D231" s="12">
        <v>8.3800000000000008</v>
      </c>
      <c r="E231" s="17"/>
      <c r="F231" s="18"/>
      <c r="G231" s="19"/>
      <c r="H231" s="185"/>
      <c r="I231" s="183"/>
      <c r="J231" s="78"/>
      <c r="K231" s="78"/>
      <c r="L231" s="77"/>
      <c r="M231" s="77"/>
    </row>
    <row r="232" spans="1:13" x14ac:dyDescent="0.2">
      <c r="A232" s="10">
        <v>19707</v>
      </c>
      <c r="B232" s="11">
        <v>42477</v>
      </c>
      <c r="C232" s="12">
        <v>180</v>
      </c>
      <c r="D232" s="12">
        <v>13.72</v>
      </c>
      <c r="E232" s="13" t="s">
        <v>533</v>
      </c>
      <c r="F232" s="18"/>
      <c r="G232" s="19"/>
      <c r="H232" s="185"/>
      <c r="I232" s="183"/>
      <c r="J232" s="78"/>
      <c r="K232" s="78"/>
      <c r="L232" s="77"/>
      <c r="M232" s="77"/>
    </row>
    <row r="233" spans="1:13" x14ac:dyDescent="0.2">
      <c r="A233" s="10">
        <v>19708</v>
      </c>
      <c r="B233" s="11">
        <v>42481</v>
      </c>
      <c r="C233" s="12">
        <v>16.18</v>
      </c>
      <c r="D233" s="12">
        <v>1.23</v>
      </c>
      <c r="E233" s="13"/>
      <c r="H233" s="185"/>
      <c r="I233" s="183"/>
      <c r="J233" s="78"/>
      <c r="K233" s="78"/>
      <c r="L233" s="77"/>
      <c r="M233" s="77"/>
    </row>
    <row r="234" spans="1:13" x14ac:dyDescent="0.2">
      <c r="A234" s="10">
        <v>19709</v>
      </c>
      <c r="B234" s="11">
        <v>42481</v>
      </c>
      <c r="C234" s="12">
        <v>175.37</v>
      </c>
      <c r="D234" s="12">
        <v>13.37</v>
      </c>
      <c r="E234" s="15"/>
      <c r="F234" s="134">
        <f>+C211+C214+C213+172.25</f>
        <v>314.01</v>
      </c>
      <c r="G234" s="123">
        <f>+F234*0.97831</f>
        <v>307.19912310000001</v>
      </c>
      <c r="H234" s="183"/>
      <c r="I234" s="183"/>
      <c r="J234" s="78"/>
      <c r="K234" s="78"/>
      <c r="L234" s="77"/>
      <c r="M234" s="77"/>
    </row>
    <row r="235" spans="1:13" x14ac:dyDescent="0.2">
      <c r="A235" s="10">
        <v>19710</v>
      </c>
      <c r="B235" s="11">
        <v>42482</v>
      </c>
      <c r="C235" s="12">
        <v>5</v>
      </c>
      <c r="D235" s="12">
        <v>0.38</v>
      </c>
      <c r="E235" s="17"/>
      <c r="H235" s="185"/>
      <c r="I235" s="183"/>
      <c r="J235" s="78"/>
      <c r="K235" s="78"/>
      <c r="L235" s="77"/>
      <c r="M235" s="77"/>
    </row>
    <row r="236" spans="1:13" x14ac:dyDescent="0.2">
      <c r="A236" s="10">
        <v>19711</v>
      </c>
      <c r="B236" s="11">
        <v>42482</v>
      </c>
      <c r="C236" s="12">
        <v>33.32</v>
      </c>
      <c r="D236" s="12">
        <v>2.54</v>
      </c>
      <c r="E236" s="17"/>
      <c r="H236" s="185"/>
      <c r="I236" s="183"/>
      <c r="J236" s="78"/>
      <c r="K236" s="78"/>
      <c r="L236" s="77"/>
      <c r="M236" s="77"/>
    </row>
    <row r="237" spans="1:13" x14ac:dyDescent="0.2">
      <c r="A237" s="10">
        <v>19712</v>
      </c>
      <c r="B237" s="11">
        <v>42482</v>
      </c>
      <c r="C237" s="12">
        <v>21.65</v>
      </c>
      <c r="D237" s="12">
        <v>1.65</v>
      </c>
      <c r="E237" s="15" t="s">
        <v>11</v>
      </c>
      <c r="F237" s="21"/>
      <c r="G237" s="22"/>
      <c r="H237" s="183"/>
      <c r="I237" s="183"/>
      <c r="J237" s="78"/>
      <c r="K237" s="78"/>
      <c r="L237" s="77"/>
      <c r="M237" s="77"/>
    </row>
    <row r="238" spans="1:13" x14ac:dyDescent="0.2">
      <c r="A238" s="10">
        <v>19713</v>
      </c>
      <c r="B238" s="11">
        <v>42482</v>
      </c>
      <c r="C238" s="12">
        <v>14.07</v>
      </c>
      <c r="D238" s="12">
        <v>1.07</v>
      </c>
      <c r="E238" s="15" t="s">
        <v>11</v>
      </c>
      <c r="H238" s="183"/>
      <c r="I238" s="183"/>
      <c r="J238" s="78"/>
      <c r="K238" s="78"/>
      <c r="L238" s="77"/>
      <c r="M238" s="77"/>
    </row>
    <row r="239" spans="1:13" x14ac:dyDescent="0.2">
      <c r="A239" s="10">
        <v>19714</v>
      </c>
      <c r="B239" s="11">
        <v>42482</v>
      </c>
      <c r="C239" s="12">
        <v>16.239999999999998</v>
      </c>
      <c r="D239" s="12">
        <v>1.24</v>
      </c>
      <c r="E239" s="17"/>
      <c r="F239" s="18"/>
      <c r="G239" s="19"/>
      <c r="H239" s="185"/>
      <c r="I239" s="183"/>
      <c r="J239" s="78"/>
      <c r="K239" s="78"/>
      <c r="L239" s="77"/>
      <c r="M239" s="77"/>
    </row>
    <row r="240" spans="1:13" x14ac:dyDescent="0.2">
      <c r="A240" s="10">
        <v>19715</v>
      </c>
      <c r="B240" s="11">
        <v>42482</v>
      </c>
      <c r="C240" s="12">
        <v>16.239999999999998</v>
      </c>
      <c r="D240" s="12">
        <v>1.24</v>
      </c>
      <c r="E240" s="17"/>
      <c r="F240" s="18"/>
      <c r="G240" s="19"/>
      <c r="H240" s="185"/>
      <c r="I240" s="183"/>
      <c r="J240" s="78"/>
      <c r="K240" s="78"/>
      <c r="L240" s="77"/>
      <c r="M240" s="77"/>
    </row>
    <row r="241" spans="1:13" x14ac:dyDescent="0.2">
      <c r="A241" s="10">
        <v>19716</v>
      </c>
      <c r="B241" s="11">
        <v>42482</v>
      </c>
      <c r="C241" s="12">
        <v>26.85</v>
      </c>
      <c r="D241" s="12">
        <v>2.0499999999999998</v>
      </c>
      <c r="E241" s="17"/>
      <c r="F241" s="18"/>
      <c r="G241" s="19"/>
      <c r="H241" s="185"/>
      <c r="I241" s="183"/>
      <c r="J241" s="78"/>
      <c r="K241" s="78"/>
      <c r="L241" s="77"/>
      <c r="M241" s="77"/>
    </row>
    <row r="242" spans="1:13" x14ac:dyDescent="0.2">
      <c r="A242" s="10">
        <v>19717</v>
      </c>
      <c r="B242" s="11">
        <v>42482</v>
      </c>
      <c r="C242" s="12">
        <v>165</v>
      </c>
      <c r="D242" s="12"/>
      <c r="E242" s="15" t="s">
        <v>253</v>
      </c>
      <c r="H242" s="183"/>
      <c r="I242" s="183"/>
      <c r="J242" s="78"/>
      <c r="K242" s="78"/>
      <c r="L242" s="77"/>
      <c r="M242" s="77"/>
    </row>
    <row r="243" spans="1:13" x14ac:dyDescent="0.2">
      <c r="A243" s="10">
        <v>19718</v>
      </c>
      <c r="B243" s="11">
        <v>42482</v>
      </c>
      <c r="C243" s="12">
        <v>-60</v>
      </c>
      <c r="D243" s="12"/>
      <c r="E243" s="15" t="s">
        <v>253</v>
      </c>
      <c r="F243" s="21"/>
      <c r="G243" s="22"/>
      <c r="H243" s="183"/>
      <c r="I243" s="183"/>
      <c r="J243" s="78"/>
      <c r="K243" s="78"/>
      <c r="L243" s="77"/>
      <c r="M243" s="77"/>
    </row>
    <row r="244" spans="1:13" x14ac:dyDescent="0.2">
      <c r="A244" s="10">
        <v>19719</v>
      </c>
      <c r="B244" s="11">
        <v>42482</v>
      </c>
      <c r="C244" s="12">
        <v>22.73</v>
      </c>
      <c r="D244" s="12">
        <v>1.73</v>
      </c>
      <c r="E244" s="17"/>
      <c r="H244" s="185"/>
      <c r="I244" s="183"/>
      <c r="J244" s="78"/>
      <c r="K244" s="78"/>
      <c r="L244" s="77"/>
      <c r="M244" s="77"/>
    </row>
    <row r="245" spans="1:13" x14ac:dyDescent="0.2">
      <c r="A245" s="10">
        <v>19720</v>
      </c>
      <c r="B245" s="11">
        <v>42482</v>
      </c>
      <c r="C245" s="12">
        <v>6.98</v>
      </c>
      <c r="D245" s="12">
        <v>0.53</v>
      </c>
      <c r="E245" s="15" t="s">
        <v>11</v>
      </c>
      <c r="H245" s="183"/>
      <c r="I245" s="183"/>
      <c r="J245" s="78"/>
      <c r="K245" s="78"/>
      <c r="L245" s="77"/>
      <c r="M245" s="77"/>
    </row>
    <row r="246" spans="1:13" x14ac:dyDescent="0.2">
      <c r="A246" s="10">
        <v>19721</v>
      </c>
      <c r="B246" s="11">
        <v>42482</v>
      </c>
      <c r="C246" s="12">
        <v>17.27</v>
      </c>
      <c r="D246" s="12">
        <v>1.32</v>
      </c>
      <c r="E246" s="15" t="s">
        <v>11</v>
      </c>
      <c r="F246" s="134">
        <f>+C200+C216+C237+C238+207.33+C245+144.65+C246</f>
        <v>718.06</v>
      </c>
      <c r="G246" s="123">
        <f>+F246*0.97831</f>
        <v>702.4852785999999</v>
      </c>
      <c r="H246" s="183"/>
      <c r="I246" s="183"/>
      <c r="J246" s="78"/>
      <c r="K246" s="78"/>
      <c r="L246" s="77"/>
      <c r="M246" s="77"/>
    </row>
    <row r="247" spans="1:13" x14ac:dyDescent="0.2">
      <c r="A247" s="10">
        <v>19722</v>
      </c>
      <c r="B247" s="11">
        <v>42483</v>
      </c>
      <c r="C247" s="12">
        <v>58.46</v>
      </c>
      <c r="D247" s="12">
        <v>4.46</v>
      </c>
      <c r="E247" s="15" t="s">
        <v>11</v>
      </c>
      <c r="F247" s="21"/>
      <c r="G247" s="22"/>
      <c r="H247" s="183"/>
      <c r="I247" s="183"/>
      <c r="J247" s="78"/>
      <c r="K247" s="78"/>
      <c r="L247" s="77"/>
      <c r="M247" s="77"/>
    </row>
    <row r="248" spans="1:13" x14ac:dyDescent="0.2">
      <c r="A248" s="10">
        <v>19723</v>
      </c>
      <c r="B248" s="11">
        <v>42483</v>
      </c>
      <c r="C248" s="12">
        <v>32.479999999999997</v>
      </c>
      <c r="D248" s="12">
        <v>2.48</v>
      </c>
      <c r="E248" s="17"/>
      <c r="H248" s="185"/>
      <c r="I248" s="183"/>
      <c r="J248" s="78"/>
      <c r="K248" s="78"/>
      <c r="L248" s="77"/>
      <c r="M248" s="77"/>
    </row>
    <row r="249" spans="1:13" x14ac:dyDescent="0.2">
      <c r="A249" s="10">
        <v>19724</v>
      </c>
      <c r="B249" s="11">
        <v>42483</v>
      </c>
      <c r="C249" s="12">
        <v>100</v>
      </c>
      <c r="D249" s="12">
        <v>7.62</v>
      </c>
      <c r="E249" s="17"/>
      <c r="F249" s="18"/>
      <c r="G249" s="19"/>
      <c r="H249" s="185"/>
      <c r="I249" s="183"/>
      <c r="J249" s="78"/>
      <c r="K249" s="78"/>
      <c r="L249" s="77"/>
      <c r="M249" s="77"/>
    </row>
    <row r="250" spans="1:13" x14ac:dyDescent="0.2">
      <c r="A250" s="10">
        <v>19725</v>
      </c>
      <c r="B250" s="11">
        <v>42483</v>
      </c>
      <c r="C250" s="12">
        <v>81.19</v>
      </c>
      <c r="D250" s="12">
        <v>6.19</v>
      </c>
      <c r="E250" s="15" t="s">
        <v>11</v>
      </c>
      <c r="F250" s="21"/>
      <c r="G250" s="22"/>
      <c r="H250" s="183"/>
      <c r="I250" s="183"/>
      <c r="J250" s="78"/>
      <c r="K250" s="78"/>
      <c r="L250" s="77"/>
      <c r="M250" s="77"/>
    </row>
    <row r="251" spans="1:13" x14ac:dyDescent="0.2">
      <c r="A251" s="10">
        <v>19726</v>
      </c>
      <c r="B251" s="11">
        <v>42483</v>
      </c>
      <c r="C251" s="12">
        <v>24.5</v>
      </c>
      <c r="D251" s="12"/>
      <c r="E251" s="15" t="s">
        <v>87</v>
      </c>
      <c r="F251" s="21"/>
      <c r="G251" s="22"/>
      <c r="H251" s="183"/>
      <c r="I251" s="183"/>
      <c r="J251" s="78"/>
      <c r="K251" s="78"/>
      <c r="L251" s="77"/>
      <c r="M251" s="77"/>
    </row>
    <row r="252" spans="1:13" x14ac:dyDescent="0.2">
      <c r="A252" s="10">
        <v>19727</v>
      </c>
      <c r="B252" s="11">
        <v>42483</v>
      </c>
      <c r="C252" s="12">
        <v>54.499999999999993</v>
      </c>
      <c r="D252" s="12">
        <v>4.1500000000000004</v>
      </c>
      <c r="E252" s="17"/>
      <c r="F252" s="18"/>
      <c r="G252" s="19"/>
      <c r="H252" s="185"/>
      <c r="I252" s="183"/>
      <c r="J252" s="78"/>
      <c r="K252" s="78"/>
      <c r="L252" s="77"/>
      <c r="M252" s="77"/>
    </row>
    <row r="253" spans="1:13" x14ac:dyDescent="0.2">
      <c r="A253" s="10">
        <v>19728</v>
      </c>
      <c r="B253" s="11">
        <v>42483</v>
      </c>
      <c r="C253" s="12">
        <v>353.98</v>
      </c>
      <c r="D253" s="12">
        <v>26.98</v>
      </c>
      <c r="E253" s="13" t="s">
        <v>639</v>
      </c>
      <c r="H253" s="185"/>
      <c r="I253" s="183"/>
      <c r="J253" s="78"/>
      <c r="K253" s="78"/>
      <c r="L253" s="77"/>
      <c r="M253" s="77"/>
    </row>
    <row r="254" spans="1:13" x14ac:dyDescent="0.2">
      <c r="A254" s="10">
        <v>19729</v>
      </c>
      <c r="B254" s="11">
        <v>42483</v>
      </c>
      <c r="C254" s="12">
        <v>209.46</v>
      </c>
      <c r="D254" s="12">
        <v>15.96</v>
      </c>
      <c r="E254" s="13" t="s">
        <v>640</v>
      </c>
      <c r="H254" s="185"/>
      <c r="J254" s="78"/>
      <c r="K254" s="78"/>
      <c r="L254" s="77"/>
      <c r="M254" s="77"/>
    </row>
    <row r="255" spans="1:13" x14ac:dyDescent="0.2">
      <c r="A255" s="10">
        <v>19730</v>
      </c>
      <c r="B255" s="11">
        <v>42483</v>
      </c>
      <c r="C255" s="12">
        <v>390.78</v>
      </c>
      <c r="D255" s="12">
        <v>29.78</v>
      </c>
      <c r="E255" s="15" t="s">
        <v>26</v>
      </c>
      <c r="F255" s="134">
        <f>+C247+253.98+C250</f>
        <v>393.63</v>
      </c>
      <c r="G255" s="123">
        <f>+F255*0.97831</f>
        <v>385.09216529999998</v>
      </c>
      <c r="H255" s="183"/>
      <c r="J255" s="78"/>
      <c r="K255" s="78"/>
      <c r="L255" s="77"/>
      <c r="M255" s="77"/>
    </row>
    <row r="256" spans="1:13" x14ac:dyDescent="0.2">
      <c r="A256" s="10">
        <v>19731</v>
      </c>
      <c r="B256" s="11">
        <v>42485</v>
      </c>
      <c r="C256" s="12">
        <v>206</v>
      </c>
      <c r="D256" s="12"/>
      <c r="E256" s="15" t="s">
        <v>19</v>
      </c>
      <c r="H256" s="183"/>
      <c r="J256" s="78"/>
      <c r="K256" s="78"/>
      <c r="L256" s="77"/>
      <c r="M256" s="77"/>
    </row>
    <row r="257" spans="1:13" x14ac:dyDescent="0.2">
      <c r="A257" s="10">
        <v>19732</v>
      </c>
      <c r="B257" s="11">
        <v>42485</v>
      </c>
      <c r="C257" s="12">
        <v>39.799999999999997</v>
      </c>
      <c r="D257" s="12"/>
      <c r="E257" s="15" t="s">
        <v>25</v>
      </c>
      <c r="H257" s="183"/>
      <c r="J257" s="78"/>
      <c r="K257" s="78"/>
      <c r="L257" s="77"/>
      <c r="M257" s="77"/>
    </row>
    <row r="258" spans="1:13" x14ac:dyDescent="0.2">
      <c r="A258" s="10">
        <v>19733</v>
      </c>
      <c r="B258" s="11">
        <v>42485</v>
      </c>
      <c r="C258" s="12">
        <v>286.86</v>
      </c>
      <c r="D258" s="12">
        <v>21.86</v>
      </c>
      <c r="E258" s="15" t="s">
        <v>7</v>
      </c>
      <c r="H258" s="183"/>
      <c r="J258" s="78"/>
      <c r="K258" s="78"/>
      <c r="L258" s="77"/>
      <c r="M258" s="77"/>
    </row>
    <row r="259" spans="1:13" x14ac:dyDescent="0.2">
      <c r="A259" s="10">
        <v>19734</v>
      </c>
      <c r="B259" s="11">
        <v>42485</v>
      </c>
      <c r="C259" s="12">
        <v>82.22</v>
      </c>
      <c r="D259" s="12">
        <v>6.27</v>
      </c>
      <c r="E259" s="15" t="s">
        <v>11</v>
      </c>
      <c r="F259" s="21"/>
      <c r="G259" s="22"/>
      <c r="H259" s="183"/>
      <c r="J259" s="78"/>
      <c r="K259" s="78"/>
      <c r="L259" s="77"/>
      <c r="M259" s="77"/>
    </row>
    <row r="260" spans="1:13" x14ac:dyDescent="0.2">
      <c r="A260" s="10">
        <v>19735</v>
      </c>
      <c r="B260" s="11">
        <v>42485</v>
      </c>
      <c r="C260" s="12">
        <v>54.13</v>
      </c>
      <c r="D260" s="12">
        <v>4.13</v>
      </c>
      <c r="E260" s="15" t="s">
        <v>7</v>
      </c>
      <c r="H260" s="183"/>
      <c r="J260" s="78"/>
      <c r="K260" s="78"/>
      <c r="L260" s="77"/>
      <c r="M260" s="77"/>
    </row>
    <row r="261" spans="1:13" x14ac:dyDescent="0.2">
      <c r="A261" s="10">
        <v>19736</v>
      </c>
      <c r="B261" s="11">
        <v>42485</v>
      </c>
      <c r="C261" s="12">
        <v>20</v>
      </c>
      <c r="D261" s="12"/>
      <c r="E261" s="15" t="s">
        <v>340</v>
      </c>
      <c r="F261" s="21"/>
      <c r="G261" s="22"/>
      <c r="H261" s="183"/>
      <c r="J261" s="78"/>
      <c r="K261" s="78"/>
      <c r="L261" s="77"/>
      <c r="M261" s="77"/>
    </row>
    <row r="262" spans="1:13" x14ac:dyDescent="0.2">
      <c r="A262" s="10">
        <v>19737</v>
      </c>
      <c r="B262" s="11">
        <v>42485</v>
      </c>
      <c r="C262" s="12">
        <v>11.91</v>
      </c>
      <c r="D262" s="12">
        <v>0.91</v>
      </c>
      <c r="E262" s="15" t="s">
        <v>11</v>
      </c>
      <c r="H262" s="183"/>
      <c r="J262" s="78"/>
      <c r="K262" s="78"/>
      <c r="L262" s="77"/>
      <c r="M262" s="77"/>
    </row>
    <row r="263" spans="1:13" x14ac:dyDescent="0.2">
      <c r="A263" s="10">
        <v>19738</v>
      </c>
      <c r="B263" s="11">
        <v>42485</v>
      </c>
      <c r="C263" s="12">
        <v>90.820000000000007</v>
      </c>
      <c r="D263" s="12">
        <v>6.92</v>
      </c>
      <c r="E263" s="15" t="s">
        <v>7</v>
      </c>
      <c r="F263" s="134">
        <f>+C258+C260</f>
        <v>340.99</v>
      </c>
      <c r="G263" s="123">
        <f>+F263*0.97831</f>
        <v>333.59392689999999</v>
      </c>
      <c r="H263" s="183"/>
      <c r="J263" s="78"/>
      <c r="K263" s="78"/>
      <c r="L263" s="77"/>
      <c r="M263" s="77"/>
    </row>
    <row r="264" spans="1:13" x14ac:dyDescent="0.2">
      <c r="A264" s="10">
        <v>19739</v>
      </c>
      <c r="B264" s="11">
        <v>42486</v>
      </c>
      <c r="C264" s="12">
        <v>14.25</v>
      </c>
      <c r="D264" s="12">
        <v>1.0900000000000001</v>
      </c>
      <c r="E264" s="15" t="s">
        <v>7</v>
      </c>
      <c r="J264" s="78"/>
      <c r="K264" s="78"/>
      <c r="L264" s="77"/>
      <c r="M264" s="77"/>
    </row>
    <row r="265" spans="1:13" x14ac:dyDescent="0.2">
      <c r="A265" s="10">
        <v>19740</v>
      </c>
      <c r="B265" s="11">
        <v>42486</v>
      </c>
      <c r="C265" s="12">
        <v>72.47</v>
      </c>
      <c r="D265" s="12">
        <v>5.52</v>
      </c>
      <c r="E265" s="15" t="s">
        <v>11</v>
      </c>
      <c r="F265" s="21"/>
      <c r="G265" s="22"/>
      <c r="J265" s="78"/>
      <c r="K265" s="78"/>
      <c r="L265" s="77"/>
      <c r="M265" s="77"/>
    </row>
    <row r="266" spans="1:13" x14ac:dyDescent="0.2">
      <c r="A266" s="10">
        <v>19741</v>
      </c>
      <c r="B266" s="11">
        <v>42486</v>
      </c>
      <c r="C266" s="12">
        <v>117.5</v>
      </c>
      <c r="D266" s="12"/>
      <c r="E266" s="15" t="s">
        <v>641</v>
      </c>
      <c r="J266" s="78"/>
      <c r="K266" s="78"/>
      <c r="L266" s="77"/>
      <c r="M266" s="77"/>
    </row>
    <row r="267" spans="1:13" x14ac:dyDescent="0.2">
      <c r="A267" s="10">
        <v>19742</v>
      </c>
      <c r="B267" s="11">
        <v>42486</v>
      </c>
      <c r="C267" s="12">
        <v>221.37</v>
      </c>
      <c r="D267" s="12">
        <v>16.87</v>
      </c>
      <c r="E267" s="15" t="s">
        <v>21</v>
      </c>
      <c r="F267" s="134">
        <f>+C264+C263+C259+C265+C267</f>
        <v>481.13</v>
      </c>
      <c r="G267" s="123">
        <f>+F267*0.97831</f>
        <v>470.69429029999998</v>
      </c>
      <c r="J267" s="78"/>
      <c r="K267" s="78"/>
      <c r="L267" s="77"/>
      <c r="M267" s="77"/>
    </row>
    <row r="268" spans="1:13" x14ac:dyDescent="0.2">
      <c r="A268" s="10">
        <v>19743</v>
      </c>
      <c r="B268" s="11">
        <v>42487</v>
      </c>
      <c r="C268" s="12">
        <v>89</v>
      </c>
      <c r="D268" s="12"/>
      <c r="E268" s="15" t="s">
        <v>16</v>
      </c>
      <c r="F268" s="21"/>
      <c r="G268" s="22"/>
      <c r="H268" s="183"/>
      <c r="I268" s="183"/>
      <c r="J268" s="78"/>
      <c r="K268" s="78"/>
      <c r="L268" s="77"/>
      <c r="M268" s="77"/>
    </row>
    <row r="269" spans="1:13" x14ac:dyDescent="0.2">
      <c r="A269" s="10">
        <v>19744</v>
      </c>
      <c r="B269" s="11">
        <v>42487</v>
      </c>
      <c r="C269" s="12">
        <v>370.76</v>
      </c>
      <c r="D269" s="12">
        <v>28.26</v>
      </c>
      <c r="E269" s="15" t="s">
        <v>11</v>
      </c>
      <c r="H269" s="183"/>
      <c r="I269" s="183"/>
      <c r="J269" s="78"/>
      <c r="K269" s="78"/>
      <c r="L269" s="77"/>
      <c r="M269" s="77"/>
    </row>
    <row r="270" spans="1:13" x14ac:dyDescent="0.2">
      <c r="A270" s="10">
        <v>19745</v>
      </c>
      <c r="B270" s="11">
        <v>42487</v>
      </c>
      <c r="C270" s="12">
        <v>16.670000000000002</v>
      </c>
      <c r="D270" s="12">
        <v>1.27</v>
      </c>
      <c r="E270" s="17"/>
      <c r="H270" s="185"/>
      <c r="I270" s="183"/>
      <c r="J270" s="78"/>
      <c r="K270" s="78"/>
      <c r="L270" s="77"/>
      <c r="M270" s="77"/>
    </row>
    <row r="271" spans="1:13" x14ac:dyDescent="0.2">
      <c r="A271" s="10">
        <v>19746</v>
      </c>
      <c r="B271" s="11">
        <v>42487</v>
      </c>
      <c r="C271" s="12">
        <v>21.599999999999998</v>
      </c>
      <c r="D271" s="12">
        <v>1.65</v>
      </c>
      <c r="E271" s="15" t="s">
        <v>11</v>
      </c>
      <c r="H271" s="183"/>
      <c r="I271" s="183"/>
      <c r="J271" s="78"/>
      <c r="K271" s="78"/>
      <c r="L271" s="77"/>
      <c r="M271" s="77"/>
    </row>
    <row r="272" spans="1:13" x14ac:dyDescent="0.2">
      <c r="A272" s="10">
        <v>19747</v>
      </c>
      <c r="B272" s="11">
        <v>42487</v>
      </c>
      <c r="C272" s="12">
        <v>24.84</v>
      </c>
      <c r="D272" s="12">
        <v>1.89</v>
      </c>
      <c r="E272" s="17"/>
      <c r="F272" s="18"/>
      <c r="G272" s="19"/>
      <c r="H272" s="185"/>
      <c r="I272" s="183"/>
      <c r="J272" s="78"/>
      <c r="K272" s="78"/>
      <c r="L272" s="77"/>
      <c r="M272" s="77"/>
    </row>
    <row r="273" spans="1:13" x14ac:dyDescent="0.2">
      <c r="A273" s="10">
        <v>19748</v>
      </c>
      <c r="B273" s="11">
        <v>42487</v>
      </c>
      <c r="C273" s="12">
        <v>40</v>
      </c>
      <c r="D273" s="12">
        <v>3.3</v>
      </c>
      <c r="E273" s="17"/>
      <c r="F273" s="18"/>
      <c r="G273" s="19"/>
      <c r="H273" s="185"/>
      <c r="I273" s="183"/>
      <c r="J273" s="78"/>
      <c r="K273" s="78"/>
      <c r="L273" s="77"/>
      <c r="M273" s="77"/>
    </row>
    <row r="274" spans="1:13" x14ac:dyDescent="0.2">
      <c r="A274" s="10">
        <v>19749</v>
      </c>
      <c r="B274" s="11">
        <v>42487</v>
      </c>
      <c r="C274" s="12">
        <v>429.66</v>
      </c>
      <c r="D274" s="12"/>
      <c r="E274" s="15" t="s">
        <v>642</v>
      </c>
      <c r="H274" s="183"/>
      <c r="I274" s="183"/>
      <c r="J274" s="78"/>
      <c r="K274" s="78"/>
      <c r="L274" s="77"/>
      <c r="M274" s="77"/>
    </row>
    <row r="275" spans="1:13" x14ac:dyDescent="0.2">
      <c r="A275" s="10">
        <v>19750</v>
      </c>
      <c r="B275" s="11">
        <v>42487</v>
      </c>
      <c r="C275" s="12">
        <v>289.02999999999997</v>
      </c>
      <c r="D275" s="12">
        <v>22.03</v>
      </c>
      <c r="E275" s="15" t="s">
        <v>7</v>
      </c>
      <c r="F275" s="21"/>
      <c r="G275" s="22"/>
      <c r="H275" s="183"/>
      <c r="I275" s="183"/>
      <c r="J275" s="78"/>
      <c r="K275" s="78"/>
      <c r="L275" s="77"/>
      <c r="M275" s="77"/>
    </row>
    <row r="276" spans="1:13" x14ac:dyDescent="0.2">
      <c r="A276" s="10">
        <v>19751</v>
      </c>
      <c r="B276" s="11">
        <v>42487</v>
      </c>
      <c r="C276" s="12">
        <v>149.99999999999997</v>
      </c>
      <c r="D276" s="12">
        <v>11.43</v>
      </c>
      <c r="E276" s="17"/>
      <c r="H276" s="185"/>
      <c r="I276" s="183"/>
      <c r="J276" s="78"/>
      <c r="K276" s="78"/>
      <c r="L276" s="77"/>
      <c r="M276" s="77"/>
    </row>
    <row r="277" spans="1:13" x14ac:dyDescent="0.2">
      <c r="A277" s="10">
        <v>19752</v>
      </c>
      <c r="B277" s="11">
        <v>42487</v>
      </c>
      <c r="C277" s="12">
        <v>173.2</v>
      </c>
      <c r="D277" s="12">
        <v>13.2</v>
      </c>
      <c r="E277" s="15" t="s">
        <v>11</v>
      </c>
      <c r="H277" s="183"/>
      <c r="I277" s="183"/>
      <c r="J277" s="78"/>
      <c r="K277" s="78"/>
      <c r="L277" s="77"/>
      <c r="M277" s="77"/>
    </row>
    <row r="278" spans="1:13" x14ac:dyDescent="0.2">
      <c r="A278" s="10">
        <v>19753</v>
      </c>
      <c r="B278" s="11">
        <v>42487</v>
      </c>
      <c r="C278" s="12">
        <v>339.69</v>
      </c>
      <c r="D278" s="12">
        <v>25.89</v>
      </c>
      <c r="E278" s="15" t="s">
        <v>7</v>
      </c>
      <c r="F278" s="20">
        <f>+C269+C271+C275+C277+C278</f>
        <v>1194.28</v>
      </c>
      <c r="G278" s="20">
        <v>1178.1500000000001</v>
      </c>
      <c r="H278" s="183"/>
      <c r="I278" s="183"/>
      <c r="J278" s="78"/>
      <c r="K278" s="78"/>
      <c r="L278" s="77"/>
      <c r="M278" s="77"/>
    </row>
    <row r="279" spans="1:13" x14ac:dyDescent="0.2">
      <c r="A279" s="10">
        <v>19754</v>
      </c>
      <c r="B279" s="11">
        <v>42488</v>
      </c>
      <c r="C279" s="12">
        <v>173.2</v>
      </c>
      <c r="D279" s="12">
        <v>13.2</v>
      </c>
      <c r="E279" s="15"/>
      <c r="H279" s="183"/>
      <c r="I279" s="183"/>
      <c r="J279" s="78"/>
      <c r="K279" s="78"/>
      <c r="L279" s="77"/>
      <c r="M279" s="77"/>
    </row>
    <row r="280" spans="1:13" x14ac:dyDescent="0.2">
      <c r="A280" s="10">
        <v>19755</v>
      </c>
      <c r="B280" s="11">
        <v>42488</v>
      </c>
      <c r="C280" s="12">
        <v>-16.18</v>
      </c>
      <c r="D280" s="12">
        <v>-1.23</v>
      </c>
      <c r="E280" s="17"/>
      <c r="F280" s="18"/>
      <c r="G280" s="19"/>
      <c r="H280" s="185"/>
      <c r="I280" s="183"/>
      <c r="J280" s="78"/>
      <c r="K280" s="78"/>
      <c r="L280" s="77"/>
      <c r="M280" s="77"/>
    </row>
    <row r="281" spans="1:13" x14ac:dyDescent="0.2">
      <c r="A281" s="10">
        <v>19756</v>
      </c>
      <c r="B281" s="11">
        <v>42488</v>
      </c>
      <c r="C281" s="12">
        <v>305.81</v>
      </c>
      <c r="D281" s="12">
        <v>23.31</v>
      </c>
      <c r="E281" s="15" t="s">
        <v>11</v>
      </c>
      <c r="H281" s="183"/>
      <c r="I281" s="183"/>
      <c r="J281" s="78"/>
      <c r="K281" s="78"/>
      <c r="L281" s="77"/>
      <c r="M281" s="77"/>
    </row>
    <row r="282" spans="1:13" x14ac:dyDescent="0.2">
      <c r="A282" s="10">
        <v>19757</v>
      </c>
      <c r="B282" s="11">
        <v>42488</v>
      </c>
      <c r="C282" s="12">
        <v>12</v>
      </c>
      <c r="D282" s="12"/>
      <c r="E282" s="15" t="s">
        <v>11</v>
      </c>
      <c r="F282" s="21"/>
      <c r="G282" s="22"/>
      <c r="H282" s="183"/>
      <c r="I282" s="183"/>
      <c r="J282" s="78"/>
      <c r="K282" s="78"/>
      <c r="L282" s="77"/>
      <c r="M282" s="77"/>
    </row>
    <row r="283" spans="1:13" x14ac:dyDescent="0.2">
      <c r="A283" s="10">
        <v>19758</v>
      </c>
      <c r="B283" s="11">
        <v>42488</v>
      </c>
      <c r="C283" s="12">
        <v>160.21</v>
      </c>
      <c r="D283" s="12">
        <v>12.21</v>
      </c>
      <c r="E283" s="15" t="s">
        <v>21</v>
      </c>
      <c r="H283" s="183"/>
      <c r="I283" s="183"/>
      <c r="J283" s="78"/>
      <c r="K283" s="78"/>
      <c r="L283" s="77"/>
      <c r="M283" s="77"/>
    </row>
    <row r="284" spans="1:13" x14ac:dyDescent="0.2">
      <c r="A284" s="10">
        <v>19759</v>
      </c>
      <c r="B284" s="11">
        <v>42488</v>
      </c>
      <c r="C284" s="12">
        <v>74.69</v>
      </c>
      <c r="D284" s="12">
        <v>5.69</v>
      </c>
      <c r="E284" s="17"/>
      <c r="H284" s="185"/>
      <c r="I284" s="183"/>
      <c r="J284" s="78"/>
      <c r="K284" s="78"/>
      <c r="L284" s="77"/>
      <c r="M284" s="77"/>
    </row>
    <row r="285" spans="1:13" x14ac:dyDescent="0.2">
      <c r="A285" s="10">
        <v>19760</v>
      </c>
      <c r="B285" s="11">
        <v>42488</v>
      </c>
      <c r="C285" s="12">
        <v>52.99</v>
      </c>
      <c r="D285" s="12">
        <v>4.04</v>
      </c>
      <c r="E285" s="17"/>
      <c r="H285" s="185"/>
      <c r="I285" s="183"/>
      <c r="J285" s="78"/>
      <c r="K285" s="78"/>
      <c r="L285" s="77"/>
      <c r="M285" s="77"/>
    </row>
    <row r="286" spans="1:13" x14ac:dyDescent="0.2">
      <c r="A286" s="10">
        <v>19761</v>
      </c>
      <c r="B286" s="11">
        <v>42488</v>
      </c>
      <c r="C286" s="12">
        <v>312.3</v>
      </c>
      <c r="D286" s="12">
        <v>23.8</v>
      </c>
      <c r="E286" s="15" t="s">
        <v>11</v>
      </c>
      <c r="F286" s="21"/>
      <c r="G286" s="22"/>
      <c r="H286" s="183"/>
      <c r="I286" s="183"/>
      <c r="J286" s="78"/>
      <c r="K286" s="78"/>
      <c r="L286" s="77"/>
      <c r="M286" s="77"/>
    </row>
    <row r="287" spans="1:13" x14ac:dyDescent="0.2">
      <c r="A287" s="10">
        <v>19762</v>
      </c>
      <c r="B287" s="11">
        <v>42488</v>
      </c>
      <c r="C287" s="12">
        <v>36.81</v>
      </c>
      <c r="D287" s="12">
        <v>2.81</v>
      </c>
      <c r="E287" s="15" t="s">
        <v>11</v>
      </c>
      <c r="H287" s="183"/>
      <c r="I287" s="183"/>
      <c r="J287" s="78"/>
      <c r="K287" s="78"/>
      <c r="L287" s="77"/>
      <c r="M287" s="77"/>
    </row>
    <row r="288" spans="1:13" x14ac:dyDescent="0.2">
      <c r="A288" s="10">
        <v>19763</v>
      </c>
      <c r="B288" s="11">
        <v>42488</v>
      </c>
      <c r="C288" s="12">
        <v>21.43</v>
      </c>
      <c r="D288" s="12">
        <v>1.63</v>
      </c>
      <c r="E288" s="15"/>
      <c r="H288" s="183"/>
      <c r="I288" s="183"/>
      <c r="J288" s="78"/>
      <c r="K288" s="78"/>
      <c r="L288" s="77"/>
      <c r="M288" s="77"/>
    </row>
    <row r="289" spans="1:13" x14ac:dyDescent="0.2">
      <c r="A289" s="10">
        <v>19764</v>
      </c>
      <c r="B289" s="11">
        <v>42488</v>
      </c>
      <c r="C289" s="12">
        <v>431.92</v>
      </c>
      <c r="D289" s="12">
        <v>32.92</v>
      </c>
      <c r="E289" s="15" t="s">
        <v>11</v>
      </c>
      <c r="H289" s="183"/>
      <c r="I289" s="183"/>
      <c r="J289" s="78"/>
      <c r="K289" s="78"/>
      <c r="L289" s="77"/>
      <c r="M289" s="77"/>
    </row>
    <row r="290" spans="1:13" x14ac:dyDescent="0.2">
      <c r="A290" s="10">
        <v>19765</v>
      </c>
      <c r="B290" s="11">
        <v>42488</v>
      </c>
      <c r="C290" s="12">
        <v>35.67</v>
      </c>
      <c r="D290" s="12">
        <v>2.72</v>
      </c>
      <c r="E290" s="17"/>
      <c r="H290" s="185"/>
      <c r="I290" s="183"/>
      <c r="J290" s="78"/>
      <c r="K290" s="78"/>
      <c r="L290" s="77"/>
      <c r="M290" s="77"/>
    </row>
    <row r="291" spans="1:13" x14ac:dyDescent="0.2">
      <c r="A291" s="10">
        <v>19766</v>
      </c>
      <c r="B291" s="11">
        <v>42488</v>
      </c>
      <c r="C291" s="12">
        <v>201.35</v>
      </c>
      <c r="D291" s="12">
        <v>15.35</v>
      </c>
      <c r="E291" s="17"/>
      <c r="F291" s="20">
        <f>+C282+C286+C287+C281+C289</f>
        <v>1098.8400000000001</v>
      </c>
      <c r="G291" s="20">
        <v>1082.1600000000001</v>
      </c>
      <c r="H291" s="185"/>
      <c r="I291" s="183"/>
      <c r="J291" s="78"/>
      <c r="K291" s="78"/>
      <c r="L291" s="77"/>
      <c r="M291" s="77"/>
    </row>
    <row r="292" spans="1:13" x14ac:dyDescent="0.2">
      <c r="A292" s="10">
        <v>19767</v>
      </c>
      <c r="B292" s="11">
        <v>42489</v>
      </c>
      <c r="C292" s="12">
        <v>123.41</v>
      </c>
      <c r="D292" s="12">
        <v>9.41</v>
      </c>
      <c r="E292" s="15"/>
      <c r="F292" s="115"/>
      <c r="G292" s="115"/>
      <c r="H292" s="183"/>
      <c r="I292" s="183"/>
      <c r="J292" s="78"/>
      <c r="K292" s="78"/>
      <c r="L292" s="77"/>
      <c r="M292" s="77"/>
    </row>
    <row r="293" spans="1:13" x14ac:dyDescent="0.2">
      <c r="A293" s="10">
        <v>19768</v>
      </c>
      <c r="B293" s="11">
        <v>42489</v>
      </c>
      <c r="C293" s="12">
        <v>135.31</v>
      </c>
      <c r="D293" s="12">
        <v>10.31</v>
      </c>
      <c r="E293" s="15" t="s">
        <v>7</v>
      </c>
      <c r="F293" s="21"/>
      <c r="G293" s="22"/>
      <c r="H293" s="183"/>
      <c r="I293" s="183"/>
      <c r="J293" s="78"/>
      <c r="K293" s="78"/>
      <c r="L293" s="77"/>
      <c r="M293" s="77"/>
    </row>
    <row r="294" spans="1:13" x14ac:dyDescent="0.2">
      <c r="A294" s="10">
        <v>19769</v>
      </c>
      <c r="B294" s="11">
        <v>42489</v>
      </c>
      <c r="C294" s="12">
        <v>228.41</v>
      </c>
      <c r="D294" s="12">
        <v>17.41</v>
      </c>
      <c r="E294" s="15" t="s">
        <v>11</v>
      </c>
      <c r="F294" s="115"/>
      <c r="G294" s="115"/>
      <c r="H294" s="183"/>
      <c r="I294" s="183"/>
      <c r="J294" s="78"/>
      <c r="K294" s="78"/>
      <c r="L294" s="77"/>
      <c r="M294" s="77"/>
    </row>
    <row r="295" spans="1:13" x14ac:dyDescent="0.2">
      <c r="A295" s="10">
        <v>19770</v>
      </c>
      <c r="B295" s="11">
        <v>42489</v>
      </c>
      <c r="C295" s="12">
        <v>429.09999999999997</v>
      </c>
      <c r="D295" s="12">
        <v>32.700000000000003</v>
      </c>
      <c r="E295" s="15" t="s">
        <v>643</v>
      </c>
      <c r="H295" s="183"/>
      <c r="I295" s="183"/>
      <c r="J295" s="78"/>
      <c r="K295" s="78"/>
      <c r="L295" s="77"/>
      <c r="M295" s="77"/>
    </row>
    <row r="296" spans="1:13" x14ac:dyDescent="0.2">
      <c r="A296" s="10">
        <v>19771</v>
      </c>
      <c r="B296" s="11">
        <v>42489</v>
      </c>
      <c r="C296" s="12">
        <v>74.69</v>
      </c>
      <c r="D296" s="12">
        <v>5.69</v>
      </c>
      <c r="E296" s="15" t="s">
        <v>644</v>
      </c>
      <c r="H296" s="183"/>
      <c r="I296" s="183"/>
      <c r="J296" s="78"/>
      <c r="K296" s="78"/>
      <c r="L296" s="77"/>
      <c r="M296" s="77"/>
    </row>
    <row r="297" spans="1:13" x14ac:dyDescent="0.2">
      <c r="A297" s="10">
        <v>19772</v>
      </c>
      <c r="B297" s="11">
        <v>42489</v>
      </c>
      <c r="C297" s="12">
        <v>87.99</v>
      </c>
      <c r="D297" s="12"/>
      <c r="E297" s="15" t="s">
        <v>97</v>
      </c>
      <c r="H297" s="183"/>
      <c r="I297" s="183"/>
      <c r="J297" s="78"/>
      <c r="K297" s="78"/>
      <c r="L297" s="77"/>
      <c r="M297" s="77"/>
    </row>
    <row r="298" spans="1:13" x14ac:dyDescent="0.2">
      <c r="A298" s="10">
        <v>19773</v>
      </c>
      <c r="B298" s="11">
        <v>42489</v>
      </c>
      <c r="C298" s="12">
        <v>15</v>
      </c>
      <c r="D298" s="12"/>
      <c r="E298" s="13" t="s">
        <v>645</v>
      </c>
      <c r="F298" s="20">
        <f>+C262+50+C294</f>
        <v>290.32</v>
      </c>
      <c r="G298" s="20">
        <v>288.37</v>
      </c>
      <c r="H298" s="185"/>
      <c r="I298" s="183"/>
      <c r="J298" s="78"/>
      <c r="K298" s="78"/>
      <c r="L298" s="77"/>
      <c r="M298" s="77"/>
    </row>
    <row r="299" spans="1:13" x14ac:dyDescent="0.2">
      <c r="A299" s="10">
        <v>19774</v>
      </c>
      <c r="B299" s="11">
        <v>42490</v>
      </c>
      <c r="C299" s="12">
        <v>409.19</v>
      </c>
      <c r="D299" s="12">
        <v>31.19</v>
      </c>
      <c r="E299" s="15" t="s">
        <v>646</v>
      </c>
      <c r="H299" s="183"/>
      <c r="I299" s="183"/>
      <c r="J299" s="78"/>
      <c r="K299" s="78"/>
      <c r="L299" s="77"/>
      <c r="M299" s="77"/>
    </row>
    <row r="300" spans="1:13" x14ac:dyDescent="0.2">
      <c r="A300" s="10">
        <v>19775</v>
      </c>
      <c r="B300" s="11">
        <v>42490</v>
      </c>
      <c r="C300" s="12">
        <v>113.66</v>
      </c>
      <c r="D300" s="12">
        <v>8.66</v>
      </c>
      <c r="E300" s="15" t="s">
        <v>7</v>
      </c>
      <c r="F300" s="21"/>
      <c r="G300" s="22"/>
      <c r="H300" s="183"/>
      <c r="I300" s="183"/>
      <c r="J300" s="78"/>
      <c r="K300" s="78"/>
      <c r="L300" s="77"/>
      <c r="M300" s="77"/>
    </row>
    <row r="301" spans="1:13" x14ac:dyDescent="0.2">
      <c r="A301" s="10">
        <v>19776</v>
      </c>
      <c r="B301" s="11">
        <v>42490</v>
      </c>
      <c r="C301" s="12">
        <v>6.98</v>
      </c>
      <c r="D301" s="12">
        <v>0.53</v>
      </c>
      <c r="E301" s="17"/>
      <c r="F301" s="18"/>
      <c r="G301" s="19"/>
      <c r="H301" s="185"/>
      <c r="I301" s="183"/>
      <c r="J301" s="78"/>
      <c r="K301" s="78"/>
      <c r="L301" s="77"/>
      <c r="M301" s="77"/>
    </row>
    <row r="302" spans="1:13" x14ac:dyDescent="0.2">
      <c r="A302" s="10">
        <v>19777</v>
      </c>
      <c r="B302" s="11">
        <v>42490</v>
      </c>
      <c r="C302" s="12">
        <v>139.63999999999999</v>
      </c>
      <c r="D302" s="12">
        <v>10.64</v>
      </c>
      <c r="E302" s="15" t="s">
        <v>11</v>
      </c>
      <c r="F302" s="115"/>
      <c r="G302" s="115"/>
      <c r="H302" s="183"/>
      <c r="I302" s="183"/>
      <c r="J302" s="78"/>
      <c r="K302" s="78"/>
      <c r="L302" s="77"/>
      <c r="M302" s="77"/>
    </row>
    <row r="303" spans="1:13" x14ac:dyDescent="0.2">
      <c r="A303" s="10">
        <v>19778</v>
      </c>
      <c r="B303" s="11">
        <v>42490</v>
      </c>
      <c r="C303" s="12">
        <v>24.84</v>
      </c>
      <c r="D303" s="12">
        <v>1.89</v>
      </c>
      <c r="E303" s="15" t="s">
        <v>7</v>
      </c>
      <c r="F303" s="21"/>
      <c r="G303" s="22"/>
      <c r="H303" s="183"/>
      <c r="I303" s="183"/>
      <c r="J303" s="78"/>
      <c r="K303" s="78"/>
      <c r="L303" s="77"/>
      <c r="M303" s="77"/>
    </row>
    <row r="304" spans="1:13" x14ac:dyDescent="0.2">
      <c r="A304" s="10">
        <v>19779</v>
      </c>
      <c r="B304" s="11">
        <v>42490</v>
      </c>
      <c r="C304" s="12">
        <v>203.51</v>
      </c>
      <c r="D304" s="12">
        <v>15.51</v>
      </c>
      <c r="E304" s="15" t="s">
        <v>7</v>
      </c>
      <c r="F304" s="21"/>
      <c r="G304" s="22"/>
      <c r="H304" s="183"/>
      <c r="I304" s="183"/>
      <c r="J304" s="78"/>
      <c r="K304" s="78"/>
      <c r="L304" s="77"/>
      <c r="M304" s="77"/>
    </row>
    <row r="305" spans="1:13" x14ac:dyDescent="0.2">
      <c r="A305" s="10">
        <v>19780</v>
      </c>
      <c r="B305" s="11">
        <v>42490</v>
      </c>
      <c r="C305" s="12">
        <v>245.67</v>
      </c>
      <c r="D305" s="12">
        <v>18.72</v>
      </c>
      <c r="E305" s="15" t="s">
        <v>7</v>
      </c>
      <c r="H305" s="183"/>
      <c r="I305" s="183"/>
      <c r="J305" s="78"/>
      <c r="K305" s="78"/>
      <c r="L305" s="77"/>
      <c r="M305" s="77"/>
    </row>
    <row r="306" spans="1:13" x14ac:dyDescent="0.2">
      <c r="A306" s="10">
        <v>19781</v>
      </c>
      <c r="B306" s="11">
        <v>42490</v>
      </c>
      <c r="C306" s="12">
        <v>47</v>
      </c>
      <c r="D306" s="12"/>
      <c r="E306" s="13" t="s">
        <v>71</v>
      </c>
      <c r="H306" s="185"/>
      <c r="I306" s="183"/>
      <c r="J306" s="78"/>
      <c r="K306" s="78"/>
      <c r="L306" s="77"/>
      <c r="M306" s="77"/>
    </row>
    <row r="307" spans="1:13" x14ac:dyDescent="0.2">
      <c r="A307" s="10">
        <v>19782</v>
      </c>
      <c r="B307" s="11">
        <v>42490</v>
      </c>
      <c r="C307" s="12">
        <v>43.3</v>
      </c>
      <c r="D307" s="12">
        <v>3.3</v>
      </c>
      <c r="E307" s="17"/>
      <c r="F307" s="18"/>
      <c r="G307" s="19"/>
      <c r="H307" s="185"/>
      <c r="I307" s="183"/>
      <c r="J307" s="78"/>
      <c r="K307" s="78"/>
      <c r="L307" s="77"/>
      <c r="M307" s="77"/>
    </row>
    <row r="308" spans="1:13" x14ac:dyDescent="0.2">
      <c r="A308" s="10">
        <v>19783</v>
      </c>
      <c r="B308" s="11">
        <v>42490</v>
      </c>
      <c r="C308" s="12">
        <v>16.239999999999998</v>
      </c>
      <c r="D308" s="12">
        <v>1.24</v>
      </c>
      <c r="E308" s="17"/>
      <c r="H308" s="185"/>
      <c r="I308" s="183"/>
      <c r="J308" s="78"/>
      <c r="K308" s="78"/>
      <c r="L308" s="77"/>
      <c r="M308" s="77"/>
    </row>
    <row r="309" spans="1:13" x14ac:dyDescent="0.2">
      <c r="A309" s="10">
        <v>19784</v>
      </c>
      <c r="B309" s="11">
        <v>42490</v>
      </c>
      <c r="C309" s="12">
        <v>60</v>
      </c>
      <c r="E309" s="26" t="s">
        <v>8</v>
      </c>
      <c r="F309" s="20">
        <f>200+C300+C302+C303+C305+C304+51.96</f>
        <v>979.28</v>
      </c>
      <c r="G309" s="20">
        <v>962.66</v>
      </c>
      <c r="H309" s="199"/>
      <c r="I309" s="183"/>
      <c r="J309" s="184"/>
      <c r="K309" s="184"/>
      <c r="L309" s="184"/>
      <c r="M309" s="184"/>
    </row>
    <row r="310" spans="1:13" x14ac:dyDescent="0.2">
      <c r="H310" s="85"/>
      <c r="I310" s="219"/>
      <c r="J310" s="220"/>
      <c r="K310" s="220"/>
      <c r="L310" s="184"/>
      <c r="M310" s="184"/>
    </row>
    <row r="311" spans="1:13" x14ac:dyDescent="0.2">
      <c r="H311" s="85"/>
      <c r="I311" s="219"/>
      <c r="J311" s="220"/>
      <c r="K311" s="220"/>
      <c r="L311" s="184"/>
      <c r="M311" s="184"/>
    </row>
    <row r="312" spans="1:13" x14ac:dyDescent="0.2">
      <c r="H312" s="85"/>
      <c r="I312" s="219"/>
      <c r="J312" s="220"/>
      <c r="K312" s="220"/>
      <c r="L312" s="184"/>
      <c r="M312" s="184"/>
    </row>
    <row r="313" spans="1:13" x14ac:dyDescent="0.2">
      <c r="H313" s="85"/>
      <c r="I313" s="219"/>
      <c r="J313" s="220"/>
      <c r="K313" s="220"/>
      <c r="L313" s="184"/>
      <c r="M313" s="184"/>
    </row>
    <row r="314" spans="1:13" x14ac:dyDescent="0.2">
      <c r="H314" s="85"/>
      <c r="I314" s="219"/>
      <c r="J314" s="220"/>
      <c r="K314" s="220"/>
      <c r="L314" s="184"/>
      <c r="M314" s="184"/>
    </row>
    <row r="315" spans="1:13" x14ac:dyDescent="0.2">
      <c r="H315" s="85"/>
      <c r="I315" s="219"/>
      <c r="J315" s="220"/>
      <c r="K315" s="220"/>
      <c r="L315" s="184"/>
      <c r="M315" s="184"/>
    </row>
    <row r="316" spans="1:13" x14ac:dyDescent="0.2">
      <c r="H316" s="85"/>
      <c r="I316" s="219"/>
      <c r="J316" s="220"/>
      <c r="K316" s="220"/>
      <c r="L316" s="184"/>
      <c r="M316" s="184"/>
    </row>
    <row r="317" spans="1:13" x14ac:dyDescent="0.2">
      <c r="H317" s="183"/>
      <c r="I317" s="219"/>
      <c r="J317" s="220"/>
      <c r="K317" s="220"/>
      <c r="L317" s="184"/>
      <c r="M317" s="184"/>
    </row>
    <row r="318" spans="1:13" x14ac:dyDescent="0.2">
      <c r="B318" s="4"/>
      <c r="C318" s="4"/>
      <c r="H318" s="185"/>
      <c r="I318" s="219"/>
      <c r="J318" s="220"/>
      <c r="K318" s="220"/>
      <c r="L318" s="184"/>
      <c r="M318" s="184"/>
    </row>
    <row r="319" spans="1:13" x14ac:dyDescent="0.2">
      <c r="B319" s="4"/>
      <c r="C319" s="4"/>
      <c r="H319" s="185"/>
      <c r="I319" s="219"/>
      <c r="J319" s="220"/>
      <c r="K319" s="220"/>
      <c r="L319" s="184"/>
      <c r="M319" s="184"/>
    </row>
    <row r="320" spans="1:13" x14ac:dyDescent="0.2">
      <c r="B320" s="4"/>
      <c r="C320" s="4"/>
      <c r="H320" s="183"/>
      <c r="I320" s="219"/>
      <c r="J320" s="220"/>
      <c r="K320" s="220"/>
      <c r="L320" s="184"/>
      <c r="M320" s="184"/>
    </row>
    <row r="321" spans="1:13" x14ac:dyDescent="0.2">
      <c r="B321" s="4"/>
      <c r="C321" s="4"/>
      <c r="H321" s="183"/>
      <c r="I321" s="219"/>
      <c r="J321" s="220"/>
      <c r="K321" s="220"/>
      <c r="L321" s="184"/>
      <c r="M321" s="184"/>
    </row>
    <row r="322" spans="1:13" x14ac:dyDescent="0.2">
      <c r="B322" s="4"/>
      <c r="C322" s="4"/>
      <c r="H322" s="183"/>
      <c r="I322" s="219"/>
      <c r="J322" s="220"/>
      <c r="K322" s="220"/>
      <c r="L322" s="184"/>
      <c r="M322" s="184"/>
    </row>
    <row r="323" spans="1:13" x14ac:dyDescent="0.2">
      <c r="B323" s="4"/>
      <c r="C323" s="4"/>
      <c r="E323" s="26"/>
      <c r="H323" s="185"/>
      <c r="I323" s="219"/>
      <c r="J323" s="220"/>
      <c r="K323" s="220"/>
      <c r="L323" s="184"/>
      <c r="M323" s="184"/>
    </row>
    <row r="324" spans="1:13" x14ac:dyDescent="0.2">
      <c r="A324" s="10"/>
      <c r="E324" s="26"/>
      <c r="H324" s="185"/>
      <c r="I324" s="186"/>
      <c r="J324" s="78"/>
      <c r="K324" s="78"/>
      <c r="L324" s="184"/>
      <c r="M324" s="184"/>
    </row>
    <row r="325" spans="1:13" x14ac:dyDescent="0.2">
      <c r="A325" s="10"/>
      <c r="E325" s="26"/>
      <c r="H325" s="183"/>
      <c r="I325" s="186"/>
      <c r="J325" s="78"/>
      <c r="K325" s="78"/>
      <c r="L325" s="184"/>
      <c r="M325" s="184"/>
    </row>
    <row r="326" spans="1:13" x14ac:dyDescent="0.2">
      <c r="A326" s="10"/>
      <c r="E326" s="26"/>
      <c r="H326" s="183"/>
      <c r="I326" s="186"/>
      <c r="J326" s="78"/>
      <c r="K326" s="78"/>
      <c r="L326" s="184"/>
      <c r="M326" s="184"/>
    </row>
    <row r="327" spans="1:13" x14ac:dyDescent="0.2">
      <c r="A327" s="10"/>
      <c r="E327" s="26"/>
      <c r="H327" s="185"/>
      <c r="I327" s="186"/>
      <c r="J327" s="78"/>
      <c r="K327" s="78"/>
      <c r="L327" s="77"/>
      <c r="M327" s="77"/>
    </row>
    <row r="328" spans="1:13" x14ac:dyDescent="0.2">
      <c r="A328" s="10"/>
      <c r="E328" s="26"/>
      <c r="H328" s="185"/>
      <c r="I328" s="186"/>
      <c r="J328" s="78"/>
      <c r="K328" s="78"/>
      <c r="L328" s="77"/>
      <c r="M328" s="77"/>
    </row>
    <row r="329" spans="1:13" x14ac:dyDescent="0.2">
      <c r="A329" s="10"/>
      <c r="E329" s="26"/>
      <c r="H329" s="183"/>
      <c r="I329" s="186"/>
      <c r="J329" s="78"/>
      <c r="K329" s="78"/>
      <c r="L329" s="77"/>
      <c r="M329" s="77"/>
    </row>
    <row r="330" spans="1:13" x14ac:dyDescent="0.2">
      <c r="A330" s="10"/>
      <c r="E330" s="26"/>
      <c r="H330" s="185"/>
      <c r="I330" s="186"/>
      <c r="J330" s="78"/>
      <c r="K330" s="78"/>
      <c r="L330" s="77"/>
      <c r="M330" s="77"/>
    </row>
    <row r="331" spans="1:13" x14ac:dyDescent="0.2">
      <c r="A331" s="10"/>
      <c r="E331" s="26"/>
      <c r="H331" s="185"/>
      <c r="I331" s="186"/>
      <c r="J331" s="78"/>
      <c r="K331" s="78"/>
      <c r="L331" s="77"/>
      <c r="M331" s="77"/>
    </row>
    <row r="332" spans="1:13" x14ac:dyDescent="0.2">
      <c r="A332" s="10"/>
      <c r="C332" s="25" t="s">
        <v>190</v>
      </c>
      <c r="E332" s="26"/>
      <c r="H332" s="185"/>
      <c r="I332" s="186"/>
      <c r="J332" s="78"/>
      <c r="K332" s="78"/>
      <c r="L332" s="77"/>
      <c r="M332" s="77"/>
    </row>
    <row r="333" spans="1:13" x14ac:dyDescent="0.2">
      <c r="A333" s="10"/>
      <c r="E333" s="26"/>
      <c r="H333" s="185"/>
      <c r="I333" s="186"/>
      <c r="J333" s="78"/>
      <c r="K333" s="77"/>
      <c r="L333" s="77"/>
      <c r="M333" s="77"/>
    </row>
    <row r="334" spans="1:13" x14ac:dyDescent="0.2">
      <c r="A334" s="10"/>
      <c r="E334" s="26"/>
      <c r="H334" s="185"/>
      <c r="I334" s="186"/>
      <c r="J334" s="78"/>
      <c r="K334" s="77"/>
      <c r="L334" s="77"/>
      <c r="M334" s="77"/>
    </row>
    <row r="335" spans="1:13" x14ac:dyDescent="0.2">
      <c r="A335" s="10"/>
      <c r="E335" s="26"/>
      <c r="H335" s="185"/>
      <c r="I335" s="186"/>
      <c r="J335" s="78"/>
      <c r="K335" s="77"/>
      <c r="L335" s="77"/>
      <c r="M335" s="77"/>
    </row>
    <row r="336" spans="1:13" x14ac:dyDescent="0.2">
      <c r="A336" s="10"/>
      <c r="E336" s="26"/>
      <c r="H336" s="85"/>
      <c r="I336" s="77"/>
      <c r="J336" s="77"/>
      <c r="K336" s="77"/>
      <c r="L336" s="77"/>
      <c r="M336" s="77"/>
    </row>
    <row r="337" spans="1:13" x14ac:dyDescent="0.2">
      <c r="A337" s="10"/>
      <c r="E337" s="26"/>
      <c r="H337" s="85"/>
      <c r="I337" s="77"/>
      <c r="J337" s="77"/>
      <c r="K337" s="77"/>
      <c r="L337" s="77"/>
      <c r="M337" s="77"/>
    </row>
    <row r="338" spans="1:13" x14ac:dyDescent="0.2">
      <c r="E338" s="26"/>
      <c r="H338" s="85"/>
      <c r="I338" s="77"/>
      <c r="J338" s="77"/>
      <c r="K338" s="77"/>
      <c r="L338" s="77"/>
      <c r="M338" s="77"/>
    </row>
    <row r="339" spans="1:13" x14ac:dyDescent="0.2">
      <c r="E339" s="26"/>
      <c r="H339" s="85"/>
      <c r="I339" s="77"/>
      <c r="J339" s="77"/>
      <c r="K339" s="77"/>
      <c r="L339" s="77"/>
      <c r="M339" s="77"/>
    </row>
    <row r="340" spans="1:13" x14ac:dyDescent="0.2">
      <c r="E340" s="26"/>
      <c r="H340" s="85"/>
      <c r="I340" s="77"/>
      <c r="J340" s="77"/>
      <c r="K340" s="77"/>
      <c r="L340" s="77"/>
      <c r="M340" s="77"/>
    </row>
    <row r="341" spans="1:13" x14ac:dyDescent="0.2">
      <c r="E341" s="26"/>
      <c r="H341" s="85"/>
      <c r="I341" s="77"/>
      <c r="J341" s="77"/>
      <c r="K341" s="77"/>
      <c r="L341" s="77"/>
      <c r="M341" s="77"/>
    </row>
    <row r="342" spans="1:13" x14ac:dyDescent="0.2">
      <c r="E342" s="26"/>
    </row>
    <row r="343" spans="1:13" x14ac:dyDescent="0.2">
      <c r="E343" s="26"/>
    </row>
    <row r="344" spans="1:13" x14ac:dyDescent="0.2">
      <c r="E344" s="26"/>
    </row>
    <row r="345" spans="1:13" x14ac:dyDescent="0.2">
      <c r="E345" s="26"/>
    </row>
    <row r="346" spans="1:13" x14ac:dyDescent="0.2">
      <c r="E346" s="26"/>
    </row>
    <row r="347" spans="1:13" x14ac:dyDescent="0.2">
      <c r="E347" s="26"/>
    </row>
    <row r="348" spans="1:13" x14ac:dyDescent="0.2">
      <c r="E348" s="26"/>
    </row>
    <row r="349" spans="1:13" x14ac:dyDescent="0.2">
      <c r="E349" s="26"/>
    </row>
    <row r="350" spans="1:13" x14ac:dyDescent="0.2">
      <c r="E350" s="26"/>
    </row>
    <row r="351" spans="1:13" x14ac:dyDescent="0.2">
      <c r="E351" s="26"/>
    </row>
    <row r="352" spans="1:13" x14ac:dyDescent="0.2">
      <c r="E352" s="26"/>
    </row>
    <row r="353" spans="1:28" x14ac:dyDescent="0.2">
      <c r="E353" s="26"/>
    </row>
    <row r="354" spans="1:28" x14ac:dyDescent="0.2">
      <c r="E354" s="26"/>
    </row>
    <row r="355" spans="1:28" s="29" customFormat="1" x14ac:dyDescent="0.2">
      <c r="A355" s="4"/>
      <c r="B355" s="11"/>
      <c r="C355" s="25"/>
      <c r="D355" s="4"/>
      <c r="E355" s="26"/>
      <c r="F355" s="4"/>
      <c r="G355" s="4"/>
      <c r="H355" s="25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s="29" customFormat="1" x14ac:dyDescent="0.2">
      <c r="A356" s="4"/>
      <c r="B356" s="11"/>
      <c r="C356" s="25"/>
      <c r="D356" s="4"/>
      <c r="E356" s="26"/>
      <c r="F356" s="4"/>
      <c r="G356" s="4"/>
      <c r="H356" s="25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x14ac:dyDescent="0.2">
      <c r="E357" s="26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</row>
    <row r="358" spans="1:28" x14ac:dyDescent="0.2">
      <c r="E358" s="26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</row>
    <row r="359" spans="1:28" x14ac:dyDescent="0.2">
      <c r="E359" s="26"/>
    </row>
    <row r="360" spans="1:28" x14ac:dyDescent="0.2">
      <c r="D360" s="29"/>
      <c r="E360" s="32"/>
      <c r="F360" s="29"/>
      <c r="G360" s="29"/>
      <c r="H360" s="31"/>
      <c r="I360" s="29"/>
      <c r="J360" s="29"/>
    </row>
    <row r="361" spans="1:28" x14ac:dyDescent="0.2">
      <c r="A361" s="29"/>
      <c r="B361" s="30"/>
      <c r="C361" s="31"/>
      <c r="D361" s="29"/>
      <c r="E361" s="32"/>
      <c r="F361" s="29"/>
      <c r="G361" s="29"/>
      <c r="H361" s="31"/>
      <c r="I361" s="29"/>
      <c r="J361" s="29"/>
    </row>
    <row r="362" spans="1:28" x14ac:dyDescent="0.2">
      <c r="A362" s="29"/>
      <c r="B362" s="30"/>
      <c r="C362" s="31"/>
      <c r="E362" s="26"/>
    </row>
    <row r="363" spans="1:28" x14ac:dyDescent="0.2">
      <c r="E363" s="26"/>
    </row>
    <row r="364" spans="1:28" x14ac:dyDescent="0.2">
      <c r="E364" s="26"/>
    </row>
    <row r="365" spans="1:28" x14ac:dyDescent="0.2">
      <c r="E365" s="26"/>
    </row>
    <row r="366" spans="1:28" x14ac:dyDescent="0.2">
      <c r="E366" s="26"/>
    </row>
    <row r="367" spans="1:28" x14ac:dyDescent="0.2">
      <c r="E367" s="26"/>
    </row>
    <row r="368" spans="1:28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  <row r="3271" spans="5:5" x14ac:dyDescent="0.2">
      <c r="E3271" s="26"/>
    </row>
    <row r="3272" spans="5:5" x14ac:dyDescent="0.2">
      <c r="E3272" s="26"/>
    </row>
    <row r="3273" spans="5:5" x14ac:dyDescent="0.2">
      <c r="E3273" s="26"/>
    </row>
    <row r="3274" spans="5:5" x14ac:dyDescent="0.2">
      <c r="E3274" s="26"/>
    </row>
    <row r="3275" spans="5:5" x14ac:dyDescent="0.2">
      <c r="E3275" s="26"/>
    </row>
    <row r="3276" spans="5:5" x14ac:dyDescent="0.2">
      <c r="E3276" s="26"/>
    </row>
    <row r="3277" spans="5:5" x14ac:dyDescent="0.2">
      <c r="E3277" s="26"/>
    </row>
    <row r="3278" spans="5:5" x14ac:dyDescent="0.2">
      <c r="E3278" s="26"/>
    </row>
    <row r="3279" spans="5:5" x14ac:dyDescent="0.2">
      <c r="E3279" s="26"/>
    </row>
    <row r="3280" spans="5:5" x14ac:dyDescent="0.2">
      <c r="E3280" s="26"/>
    </row>
    <row r="3281" spans="5:5" x14ac:dyDescent="0.2">
      <c r="E3281" s="26"/>
    </row>
    <row r="3282" spans="5:5" x14ac:dyDescent="0.2">
      <c r="E3282" s="26"/>
    </row>
    <row r="3283" spans="5:5" x14ac:dyDescent="0.2">
      <c r="E3283" s="26"/>
    </row>
    <row r="3284" spans="5:5" x14ac:dyDescent="0.2">
      <c r="E3284" s="26"/>
    </row>
    <row r="3285" spans="5:5" x14ac:dyDescent="0.2">
      <c r="E3285" s="26"/>
    </row>
    <row r="3286" spans="5:5" x14ac:dyDescent="0.2">
      <c r="E3286" s="26"/>
    </row>
    <row r="3287" spans="5:5" x14ac:dyDescent="0.2">
      <c r="E3287" s="26"/>
    </row>
    <row r="3288" spans="5:5" x14ac:dyDescent="0.2">
      <c r="E3288" s="26"/>
    </row>
    <row r="3289" spans="5:5" x14ac:dyDescent="0.2">
      <c r="E3289" s="26"/>
    </row>
    <row r="3290" spans="5:5" x14ac:dyDescent="0.2">
      <c r="E3290" s="26"/>
    </row>
    <row r="3291" spans="5:5" x14ac:dyDescent="0.2">
      <c r="E3291" s="26"/>
    </row>
    <row r="3292" spans="5:5" x14ac:dyDescent="0.2">
      <c r="E3292" s="26"/>
    </row>
    <row r="3293" spans="5:5" x14ac:dyDescent="0.2">
      <c r="E3293" s="26"/>
    </row>
    <row r="3294" spans="5:5" x14ac:dyDescent="0.2">
      <c r="E3294" s="26"/>
    </row>
    <row r="3295" spans="5:5" x14ac:dyDescent="0.2">
      <c r="E3295" s="26"/>
    </row>
    <row r="3296" spans="5:5" x14ac:dyDescent="0.2">
      <c r="E3296" s="26"/>
    </row>
    <row r="3297" spans="5:5" x14ac:dyDescent="0.2">
      <c r="E3297" s="26"/>
    </row>
    <row r="3298" spans="5:5" x14ac:dyDescent="0.2">
      <c r="E3298" s="26"/>
    </row>
    <row r="3299" spans="5:5" x14ac:dyDescent="0.2">
      <c r="E3299" s="26"/>
    </row>
    <row r="3300" spans="5:5" x14ac:dyDescent="0.2">
      <c r="E3300" s="26"/>
    </row>
    <row r="3301" spans="5:5" x14ac:dyDescent="0.2">
      <c r="E3301" s="26"/>
    </row>
    <row r="3302" spans="5:5" x14ac:dyDescent="0.2">
      <c r="E3302" s="26"/>
    </row>
    <row r="3303" spans="5:5" x14ac:dyDescent="0.2">
      <c r="E3303" s="26"/>
    </row>
    <row r="3304" spans="5:5" x14ac:dyDescent="0.2">
      <c r="E3304" s="26"/>
    </row>
    <row r="3305" spans="5:5" x14ac:dyDescent="0.2">
      <c r="E3305" s="26"/>
    </row>
    <row r="3306" spans="5:5" x14ac:dyDescent="0.2">
      <c r="E3306" s="26"/>
    </row>
    <row r="3307" spans="5:5" x14ac:dyDescent="0.2">
      <c r="E3307" s="26"/>
    </row>
    <row r="3308" spans="5:5" x14ac:dyDescent="0.2">
      <c r="E3308" s="26"/>
    </row>
    <row r="3309" spans="5:5" x14ac:dyDescent="0.2">
      <c r="E3309" s="26"/>
    </row>
    <row r="3310" spans="5:5" x14ac:dyDescent="0.2">
      <c r="E3310" s="26"/>
    </row>
    <row r="3311" spans="5:5" x14ac:dyDescent="0.2">
      <c r="E3311" s="26"/>
    </row>
    <row r="3312" spans="5:5" x14ac:dyDescent="0.2">
      <c r="E3312" s="26"/>
    </row>
    <row r="3313" spans="5:5" x14ac:dyDescent="0.2">
      <c r="E3313" s="26"/>
    </row>
    <row r="3314" spans="5:5" x14ac:dyDescent="0.2">
      <c r="E3314" s="26"/>
    </row>
    <row r="3315" spans="5:5" x14ac:dyDescent="0.2">
      <c r="E3315" s="26"/>
    </row>
    <row r="3316" spans="5:5" x14ac:dyDescent="0.2">
      <c r="E3316" s="26"/>
    </row>
    <row r="3317" spans="5:5" x14ac:dyDescent="0.2">
      <c r="E3317" s="26"/>
    </row>
    <row r="3318" spans="5:5" x14ac:dyDescent="0.2">
      <c r="E3318" s="26"/>
    </row>
    <row r="3319" spans="5:5" x14ac:dyDescent="0.2">
      <c r="E3319" s="26"/>
    </row>
    <row r="3320" spans="5:5" x14ac:dyDescent="0.2">
      <c r="E3320" s="26"/>
    </row>
    <row r="3321" spans="5:5" x14ac:dyDescent="0.2">
      <c r="E3321" s="26"/>
    </row>
    <row r="3322" spans="5:5" x14ac:dyDescent="0.2">
      <c r="E3322" s="26"/>
    </row>
    <row r="3323" spans="5:5" x14ac:dyDescent="0.2">
      <c r="E3323" s="26"/>
    </row>
    <row r="3324" spans="5:5" x14ac:dyDescent="0.2">
      <c r="E3324" s="26"/>
    </row>
    <row r="3325" spans="5:5" x14ac:dyDescent="0.2">
      <c r="E3325" s="26"/>
    </row>
    <row r="3326" spans="5:5" x14ac:dyDescent="0.2">
      <c r="E3326" s="26"/>
    </row>
    <row r="3327" spans="5:5" x14ac:dyDescent="0.2">
      <c r="E3327" s="26"/>
    </row>
    <row r="3328" spans="5:5" x14ac:dyDescent="0.2">
      <c r="E3328" s="26"/>
    </row>
    <row r="3329" spans="5:5" x14ac:dyDescent="0.2">
      <c r="E3329" s="26"/>
    </row>
    <row r="3330" spans="5:5" x14ac:dyDescent="0.2">
      <c r="E3330" s="26"/>
    </row>
    <row r="3331" spans="5:5" x14ac:dyDescent="0.2">
      <c r="E3331" s="26"/>
    </row>
    <row r="3332" spans="5:5" x14ac:dyDescent="0.2">
      <c r="E3332" s="26"/>
    </row>
    <row r="3333" spans="5:5" x14ac:dyDescent="0.2">
      <c r="E3333" s="26"/>
    </row>
    <row r="3334" spans="5:5" x14ac:dyDescent="0.2">
      <c r="E3334" s="26"/>
    </row>
    <row r="3335" spans="5:5" x14ac:dyDescent="0.2">
      <c r="E3335" s="26"/>
    </row>
    <row r="3336" spans="5:5" x14ac:dyDescent="0.2">
      <c r="E3336" s="2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270"/>
  <sheetViews>
    <sheetView topLeftCell="A207" workbookViewId="0">
      <selection activeCell="A255" sqref="A255"/>
    </sheetView>
  </sheetViews>
  <sheetFormatPr defaultRowHeight="11.25" x14ac:dyDescent="0.2"/>
  <cols>
    <col min="1" max="1" width="9.140625" style="4"/>
    <col min="2" max="2" width="11.28515625" style="11" customWidth="1"/>
    <col min="3" max="3" width="9.140625" style="25"/>
    <col min="4" max="4" width="9.140625" style="4"/>
    <col min="5" max="5" width="19.140625" style="4" customWidth="1"/>
    <col min="6" max="7" width="9.140625" style="4"/>
    <col min="8" max="8" width="9.140625" style="25"/>
    <col min="9" max="16384" width="9.140625" style="4"/>
  </cols>
  <sheetData>
    <row r="1" spans="1:10" x14ac:dyDescent="0.2">
      <c r="A1" s="1" t="s">
        <v>0</v>
      </c>
      <c r="B1" s="2"/>
      <c r="C1" s="3">
        <f>SUM(C2:C452)</f>
        <v>25070.650000000005</v>
      </c>
      <c r="D1" s="3">
        <f>SUM(D2:D452)</f>
        <v>1587.8599999999994</v>
      </c>
      <c r="F1" s="166">
        <f>SUM(F3:F2393)</f>
        <v>9938.86</v>
      </c>
      <c r="G1" s="166">
        <f>SUM(G3:G2393)</f>
        <v>9785.66</v>
      </c>
      <c r="H1" s="5">
        <f ca="1">TODAY()</f>
        <v>43182</v>
      </c>
      <c r="I1" s="5"/>
      <c r="J1" s="5"/>
    </row>
    <row r="2" spans="1:10" s="8" customFormat="1" x14ac:dyDescent="0.2">
      <c r="A2" s="1" t="s">
        <v>1</v>
      </c>
      <c r="B2" s="6" t="s">
        <v>2</v>
      </c>
      <c r="C2" s="7" t="s">
        <v>3</v>
      </c>
      <c r="D2" s="6" t="s">
        <v>4</v>
      </c>
      <c r="E2" s="6" t="s">
        <v>5</v>
      </c>
      <c r="H2" s="9"/>
    </row>
    <row r="3" spans="1:10" x14ac:dyDescent="0.2">
      <c r="A3" s="10">
        <v>19785</v>
      </c>
      <c r="B3" s="11">
        <v>42492</v>
      </c>
      <c r="C3" s="12">
        <v>79</v>
      </c>
      <c r="D3" s="12"/>
      <c r="E3" s="15" t="s">
        <v>16</v>
      </c>
      <c r="F3" s="10"/>
      <c r="G3" s="10"/>
      <c r="H3" s="10"/>
      <c r="I3" s="10"/>
    </row>
    <row r="4" spans="1:10" x14ac:dyDescent="0.2">
      <c r="A4" s="10">
        <v>19786</v>
      </c>
      <c r="B4" s="11">
        <v>42492</v>
      </c>
      <c r="C4" s="12">
        <v>344.24</v>
      </c>
      <c r="D4" s="12">
        <v>26.24</v>
      </c>
      <c r="E4" s="13" t="s">
        <v>647</v>
      </c>
      <c r="F4" s="12"/>
      <c r="G4" s="12"/>
      <c r="H4" s="12"/>
      <c r="I4" s="10"/>
    </row>
    <row r="5" spans="1:10" x14ac:dyDescent="0.2">
      <c r="A5" s="10">
        <v>19787</v>
      </c>
      <c r="B5" s="11">
        <v>42492</v>
      </c>
      <c r="C5" s="12">
        <v>114</v>
      </c>
      <c r="D5" s="12"/>
      <c r="E5" s="15" t="s">
        <v>25</v>
      </c>
      <c r="F5" s="10"/>
      <c r="G5" s="10"/>
      <c r="H5" s="10"/>
      <c r="I5" s="10"/>
    </row>
    <row r="6" spans="1:10" x14ac:dyDescent="0.2">
      <c r="A6" s="10">
        <v>19788</v>
      </c>
      <c r="B6" s="11">
        <v>42492</v>
      </c>
      <c r="C6" s="12">
        <v>64.95</v>
      </c>
      <c r="D6" s="12">
        <v>4.95</v>
      </c>
      <c r="E6" s="13" t="s">
        <v>648</v>
      </c>
      <c r="F6" s="12"/>
      <c r="G6" s="12"/>
      <c r="H6" s="12"/>
      <c r="I6" s="10"/>
    </row>
    <row r="7" spans="1:10" x14ac:dyDescent="0.2">
      <c r="A7" s="10">
        <v>19789</v>
      </c>
      <c r="B7" s="11">
        <v>42492</v>
      </c>
      <c r="C7" s="12">
        <v>31.39</v>
      </c>
      <c r="D7" s="12">
        <v>2.39</v>
      </c>
      <c r="E7" s="17"/>
      <c r="F7" s="12"/>
      <c r="G7" s="12"/>
      <c r="H7" s="12"/>
      <c r="I7" s="10"/>
    </row>
    <row r="8" spans="1:10" x14ac:dyDescent="0.2">
      <c r="A8" s="10">
        <v>19790</v>
      </c>
      <c r="B8" s="11">
        <v>42492</v>
      </c>
      <c r="C8" s="12">
        <v>123.41</v>
      </c>
      <c r="D8" s="12">
        <v>9.41</v>
      </c>
      <c r="E8" s="15" t="s">
        <v>7</v>
      </c>
      <c r="F8" s="10"/>
      <c r="G8" s="10"/>
      <c r="H8" s="10"/>
      <c r="I8" s="10"/>
    </row>
    <row r="9" spans="1:10" x14ac:dyDescent="0.2">
      <c r="A9" s="10">
        <v>19791</v>
      </c>
      <c r="B9" s="11">
        <v>42492</v>
      </c>
      <c r="C9" s="12">
        <v>271.17</v>
      </c>
      <c r="D9" s="12">
        <v>20.67</v>
      </c>
      <c r="E9" s="17"/>
      <c r="F9" s="12"/>
      <c r="G9" s="12"/>
      <c r="H9" s="12"/>
      <c r="I9" s="10"/>
    </row>
    <row r="10" spans="1:10" x14ac:dyDescent="0.2">
      <c r="A10" s="10">
        <v>19792</v>
      </c>
      <c r="B10" s="11">
        <v>42492</v>
      </c>
      <c r="C10" s="12">
        <v>94.45</v>
      </c>
      <c r="D10" s="12">
        <v>7.2</v>
      </c>
      <c r="E10" s="17"/>
      <c r="F10" s="12"/>
      <c r="G10" s="12"/>
      <c r="H10" s="12"/>
      <c r="I10" s="10"/>
    </row>
    <row r="11" spans="1:10" x14ac:dyDescent="0.2">
      <c r="A11" s="10">
        <v>19793</v>
      </c>
      <c r="B11" s="11">
        <v>42492</v>
      </c>
      <c r="C11" s="12">
        <v>32.479999999999997</v>
      </c>
      <c r="D11" s="12">
        <v>2.48</v>
      </c>
      <c r="E11" s="15" t="s">
        <v>11</v>
      </c>
      <c r="H11" s="10"/>
      <c r="I11" s="10"/>
    </row>
    <row r="12" spans="1:10" x14ac:dyDescent="0.2">
      <c r="A12" s="10">
        <v>19794</v>
      </c>
      <c r="B12" s="11">
        <v>42492</v>
      </c>
      <c r="C12" s="12">
        <v>188.36</v>
      </c>
      <c r="D12" s="12">
        <v>14.36</v>
      </c>
      <c r="E12" s="17"/>
      <c r="F12" s="215"/>
      <c r="G12" s="215"/>
      <c r="H12" s="12"/>
      <c r="I12" s="10"/>
    </row>
    <row r="13" spans="1:10" x14ac:dyDescent="0.2">
      <c r="A13" s="10">
        <v>19795</v>
      </c>
      <c r="B13" s="11">
        <v>42492</v>
      </c>
      <c r="C13" s="12">
        <v>27.830000000000002</v>
      </c>
      <c r="D13" s="12">
        <v>2.12</v>
      </c>
      <c r="E13" s="15" t="s">
        <v>11</v>
      </c>
      <c r="F13" s="20">
        <f>+C11+C8+C13</f>
        <v>183.72</v>
      </c>
      <c r="G13" s="20">
        <v>179.6</v>
      </c>
      <c r="H13" s="10"/>
      <c r="I13" s="10"/>
    </row>
    <row r="14" spans="1:10" x14ac:dyDescent="0.2">
      <c r="A14" s="10">
        <v>19796</v>
      </c>
      <c r="B14" s="11">
        <v>42493</v>
      </c>
      <c r="C14" s="12">
        <v>223</v>
      </c>
      <c r="D14" s="12">
        <v>17</v>
      </c>
      <c r="E14" s="15" t="s">
        <v>649</v>
      </c>
      <c r="H14" s="10"/>
      <c r="I14" s="10"/>
    </row>
    <row r="15" spans="1:10" x14ac:dyDescent="0.2">
      <c r="A15" s="10">
        <v>19797</v>
      </c>
      <c r="B15" s="11">
        <v>42493</v>
      </c>
      <c r="C15" s="12">
        <v>108.25</v>
      </c>
      <c r="D15" s="12">
        <v>8.25</v>
      </c>
      <c r="E15" s="15" t="s">
        <v>650</v>
      </c>
      <c r="H15" s="10"/>
      <c r="I15" s="10"/>
    </row>
    <row r="16" spans="1:10" x14ac:dyDescent="0.2">
      <c r="A16" s="10">
        <v>19798</v>
      </c>
      <c r="B16" s="11">
        <v>42493</v>
      </c>
      <c r="C16" s="12">
        <v>89.740000000000009</v>
      </c>
      <c r="D16" s="12"/>
      <c r="E16" s="15" t="s">
        <v>368</v>
      </c>
      <c r="F16" s="21"/>
      <c r="G16" s="22"/>
      <c r="H16" s="10"/>
      <c r="I16" s="10"/>
    </row>
    <row r="17" spans="1:9" x14ac:dyDescent="0.2">
      <c r="A17" s="10">
        <v>19799</v>
      </c>
      <c r="B17" s="11">
        <v>42493</v>
      </c>
      <c r="C17" s="12">
        <v>142.9</v>
      </c>
      <c r="D17" s="12"/>
      <c r="E17" s="15" t="s">
        <v>642</v>
      </c>
      <c r="H17" s="10"/>
      <c r="I17" s="10"/>
    </row>
    <row r="18" spans="1:9" x14ac:dyDescent="0.2">
      <c r="A18" s="10">
        <v>19800</v>
      </c>
      <c r="B18" s="11">
        <v>42493</v>
      </c>
      <c r="C18" s="12">
        <v>75.78</v>
      </c>
      <c r="D18" s="12">
        <v>5.78</v>
      </c>
      <c r="E18" s="15" t="s">
        <v>651</v>
      </c>
      <c r="F18" s="21"/>
      <c r="G18" s="22"/>
      <c r="H18" s="10"/>
      <c r="I18" s="10"/>
    </row>
    <row r="19" spans="1:9" x14ac:dyDescent="0.2">
      <c r="A19" s="10">
        <v>19801</v>
      </c>
      <c r="B19" s="11">
        <v>42493</v>
      </c>
      <c r="C19" s="12">
        <v>160.21</v>
      </c>
      <c r="D19" s="12">
        <v>12.21</v>
      </c>
      <c r="E19" s="17"/>
      <c r="F19" s="18"/>
      <c r="G19" s="19"/>
      <c r="H19" s="12"/>
      <c r="I19" s="10"/>
    </row>
    <row r="20" spans="1:9" x14ac:dyDescent="0.2">
      <c r="A20" s="10">
        <v>19802</v>
      </c>
      <c r="B20" s="11">
        <v>42493</v>
      </c>
      <c r="C20" s="12">
        <v>266.3</v>
      </c>
      <c r="D20" s="12">
        <v>20.3</v>
      </c>
      <c r="E20" s="17"/>
      <c r="H20" s="12"/>
      <c r="I20" s="10"/>
    </row>
    <row r="21" spans="1:9" x14ac:dyDescent="0.2">
      <c r="A21" s="10">
        <v>19803</v>
      </c>
      <c r="B21" s="11">
        <v>42493</v>
      </c>
      <c r="C21" s="12">
        <v>24.84</v>
      </c>
      <c r="D21" s="12">
        <v>1.89</v>
      </c>
      <c r="E21" s="17"/>
      <c r="H21" s="12"/>
      <c r="I21" s="10"/>
    </row>
    <row r="22" spans="1:9" x14ac:dyDescent="0.2">
      <c r="A22" s="10">
        <v>19804</v>
      </c>
      <c r="B22" s="11">
        <v>42493</v>
      </c>
      <c r="C22" s="12">
        <v>56.83</v>
      </c>
      <c r="D22" s="12">
        <v>4.33</v>
      </c>
      <c r="E22" s="17"/>
      <c r="F22" s="20">
        <f>20+C16+85.31+50</f>
        <v>245.05</v>
      </c>
      <c r="G22" s="20">
        <v>240.98</v>
      </c>
      <c r="H22" s="12"/>
      <c r="I22" s="10"/>
    </row>
    <row r="23" spans="1:9" x14ac:dyDescent="0.2">
      <c r="A23" s="10">
        <v>19805</v>
      </c>
      <c r="B23" s="11">
        <v>42494</v>
      </c>
      <c r="C23" s="12">
        <v>124.49</v>
      </c>
      <c r="D23" s="12">
        <v>9.49</v>
      </c>
      <c r="E23" s="15" t="s">
        <v>652</v>
      </c>
      <c r="H23" s="10"/>
      <c r="I23" s="10"/>
    </row>
    <row r="24" spans="1:9" x14ac:dyDescent="0.2">
      <c r="A24" s="10">
        <v>19806</v>
      </c>
      <c r="B24" s="11">
        <v>42494</v>
      </c>
      <c r="C24" s="12">
        <v>43.3</v>
      </c>
      <c r="D24" s="12">
        <v>3.3</v>
      </c>
      <c r="E24" s="15" t="s">
        <v>11</v>
      </c>
      <c r="F24" s="21"/>
      <c r="G24" s="22"/>
      <c r="H24" s="10"/>
      <c r="I24" s="10"/>
    </row>
    <row r="25" spans="1:9" x14ac:dyDescent="0.2">
      <c r="A25" s="10">
        <v>19807</v>
      </c>
      <c r="B25" s="11">
        <v>42494</v>
      </c>
      <c r="C25" s="12">
        <v>88.77</v>
      </c>
      <c r="D25" s="12">
        <v>6.77</v>
      </c>
      <c r="E25" s="15" t="s">
        <v>11</v>
      </c>
      <c r="H25" s="10"/>
      <c r="I25" s="10"/>
    </row>
    <row r="26" spans="1:9" x14ac:dyDescent="0.2">
      <c r="A26" s="10">
        <v>19808</v>
      </c>
      <c r="B26" s="11">
        <v>42494</v>
      </c>
      <c r="C26" s="12">
        <v>137</v>
      </c>
      <c r="D26" s="12"/>
      <c r="E26" s="15" t="s">
        <v>653</v>
      </c>
      <c r="H26" s="10"/>
      <c r="I26" s="10"/>
    </row>
    <row r="27" spans="1:9" x14ac:dyDescent="0.2">
      <c r="A27" s="10">
        <v>19809</v>
      </c>
      <c r="B27" s="11">
        <v>42494</v>
      </c>
      <c r="C27" s="12">
        <v>50.88</v>
      </c>
      <c r="D27" s="12">
        <v>3.88</v>
      </c>
      <c r="E27" s="15" t="s">
        <v>11</v>
      </c>
      <c r="H27" s="10"/>
      <c r="I27" s="10"/>
    </row>
    <row r="28" spans="1:9" x14ac:dyDescent="0.2">
      <c r="A28" s="10">
        <v>19810</v>
      </c>
      <c r="B28" s="11">
        <v>42494</v>
      </c>
      <c r="C28" s="12">
        <v>145.06</v>
      </c>
      <c r="D28" s="12">
        <v>11.06</v>
      </c>
      <c r="E28" s="15"/>
      <c r="F28" s="21"/>
      <c r="G28" s="22"/>
      <c r="H28" s="10"/>
      <c r="I28" s="10"/>
    </row>
    <row r="29" spans="1:9" x14ac:dyDescent="0.2">
      <c r="A29" s="10">
        <v>19811</v>
      </c>
      <c r="B29" s="11">
        <v>42494</v>
      </c>
      <c r="C29" s="12">
        <v>501.2</v>
      </c>
      <c r="D29" s="12">
        <v>38.200000000000003</v>
      </c>
      <c r="E29" s="15"/>
      <c r="H29" s="10"/>
      <c r="I29" s="10"/>
    </row>
    <row r="30" spans="1:9" x14ac:dyDescent="0.2">
      <c r="A30" s="10">
        <v>19812</v>
      </c>
      <c r="B30" s="11">
        <v>42494</v>
      </c>
      <c r="C30" s="12">
        <v>32.479999999999997</v>
      </c>
      <c r="D30" s="12">
        <v>2.48</v>
      </c>
      <c r="E30" s="15" t="s">
        <v>11</v>
      </c>
      <c r="H30" s="10"/>
      <c r="I30" s="10"/>
    </row>
    <row r="31" spans="1:9" x14ac:dyDescent="0.2">
      <c r="A31" s="10">
        <v>19813</v>
      </c>
      <c r="B31" s="11">
        <v>42494</v>
      </c>
      <c r="C31" s="12">
        <v>34.64</v>
      </c>
      <c r="D31" s="12">
        <v>2.64</v>
      </c>
      <c r="E31" s="17"/>
      <c r="H31" s="12"/>
      <c r="I31" s="10"/>
    </row>
    <row r="32" spans="1:9" x14ac:dyDescent="0.2">
      <c r="A32" s="10">
        <v>19814</v>
      </c>
      <c r="B32" s="11">
        <v>42494</v>
      </c>
      <c r="C32" s="12">
        <v>43.3</v>
      </c>
      <c r="D32" s="12">
        <v>3.3</v>
      </c>
      <c r="E32" s="15" t="s">
        <v>11</v>
      </c>
      <c r="H32" s="10"/>
      <c r="I32" s="10"/>
    </row>
    <row r="33" spans="1:9" x14ac:dyDescent="0.2">
      <c r="A33" s="10">
        <v>19815</v>
      </c>
      <c r="B33" s="11">
        <v>42494</v>
      </c>
      <c r="C33" s="12">
        <v>120.16</v>
      </c>
      <c r="D33" s="12">
        <v>9.16</v>
      </c>
      <c r="E33" s="17"/>
      <c r="H33" s="12"/>
      <c r="I33" s="10"/>
    </row>
    <row r="34" spans="1:9" x14ac:dyDescent="0.2">
      <c r="A34" s="10">
        <v>19816</v>
      </c>
      <c r="B34" s="11">
        <v>42494</v>
      </c>
      <c r="C34" s="12">
        <v>21.65</v>
      </c>
      <c r="D34" s="12">
        <v>1.65</v>
      </c>
      <c r="E34" s="15" t="s">
        <v>11</v>
      </c>
      <c r="H34" s="10"/>
      <c r="I34" s="10"/>
    </row>
    <row r="35" spans="1:9" x14ac:dyDescent="0.2">
      <c r="A35" s="10">
        <v>19817</v>
      </c>
      <c r="B35" s="11">
        <v>42494</v>
      </c>
      <c r="C35" s="12">
        <v>24.9</v>
      </c>
      <c r="D35" s="12">
        <v>1.9</v>
      </c>
      <c r="E35" s="15" t="s">
        <v>11</v>
      </c>
      <c r="F35" s="20">
        <f>+C23+C24+C25+C30+C32+C34+C35</f>
        <v>378.89</v>
      </c>
      <c r="G35" s="20">
        <v>375.36</v>
      </c>
      <c r="H35" s="10"/>
      <c r="I35" s="10"/>
    </row>
    <row r="36" spans="1:9" x14ac:dyDescent="0.2">
      <c r="A36" s="10">
        <v>19818</v>
      </c>
      <c r="B36" s="11">
        <v>42495</v>
      </c>
      <c r="C36" s="12">
        <v>64.95</v>
      </c>
      <c r="D36" s="12">
        <v>4.95</v>
      </c>
      <c r="E36" s="15" t="s">
        <v>11</v>
      </c>
      <c r="H36" s="10"/>
      <c r="I36" s="10"/>
    </row>
    <row r="37" spans="1:9" x14ac:dyDescent="0.2">
      <c r="A37" s="10">
        <v>19819</v>
      </c>
      <c r="B37" s="11">
        <v>42495</v>
      </c>
      <c r="C37" s="12">
        <v>21.599999999999998</v>
      </c>
      <c r="D37" s="12">
        <v>1.65</v>
      </c>
      <c r="E37" s="17"/>
      <c r="H37" s="12"/>
      <c r="I37" s="10"/>
    </row>
    <row r="38" spans="1:9" x14ac:dyDescent="0.2">
      <c r="A38" s="10">
        <v>19820</v>
      </c>
      <c r="B38" s="11">
        <v>42495</v>
      </c>
      <c r="C38" s="12">
        <v>42</v>
      </c>
      <c r="D38" s="12"/>
      <c r="E38" s="13" t="s">
        <v>654</v>
      </c>
      <c r="H38" s="12"/>
      <c r="I38" s="10"/>
    </row>
    <row r="39" spans="1:9" x14ac:dyDescent="0.2">
      <c r="A39" s="10">
        <v>19821</v>
      </c>
      <c r="B39" s="11">
        <v>42495</v>
      </c>
      <c r="C39" s="12">
        <v>43.3</v>
      </c>
      <c r="D39" s="12">
        <v>3.3</v>
      </c>
      <c r="E39" s="15" t="s">
        <v>11</v>
      </c>
      <c r="H39" s="10"/>
      <c r="I39" s="10"/>
    </row>
    <row r="40" spans="1:9" x14ac:dyDescent="0.2">
      <c r="A40" s="10">
        <v>19822</v>
      </c>
      <c r="B40" s="11">
        <v>42495</v>
      </c>
      <c r="C40" s="12">
        <v>14</v>
      </c>
      <c r="D40" s="12">
        <v>1.07</v>
      </c>
      <c r="E40" s="17"/>
      <c r="H40" s="12"/>
      <c r="I40" s="10"/>
    </row>
    <row r="41" spans="1:9" x14ac:dyDescent="0.2">
      <c r="A41" s="10">
        <v>19823</v>
      </c>
      <c r="B41" s="11">
        <v>42495</v>
      </c>
      <c r="C41" s="12">
        <v>74.69</v>
      </c>
      <c r="D41" s="12">
        <v>5.69</v>
      </c>
      <c r="E41" s="15" t="s">
        <v>11</v>
      </c>
      <c r="H41" s="10"/>
      <c r="I41" s="10"/>
    </row>
    <row r="42" spans="1:9" x14ac:dyDescent="0.2">
      <c r="A42" s="10">
        <v>19824</v>
      </c>
      <c r="B42" s="11">
        <v>42495</v>
      </c>
      <c r="C42" s="12">
        <v>33.56</v>
      </c>
      <c r="D42" s="12">
        <v>2.56</v>
      </c>
      <c r="E42" s="17"/>
      <c r="F42" s="18"/>
      <c r="G42" s="19"/>
      <c r="H42" s="12"/>
      <c r="I42" s="10"/>
    </row>
    <row r="43" spans="1:9" x14ac:dyDescent="0.2">
      <c r="A43" s="10">
        <v>19825</v>
      </c>
      <c r="B43" s="11">
        <v>42495</v>
      </c>
      <c r="C43" s="12">
        <v>84.44</v>
      </c>
      <c r="D43" s="12">
        <v>6.44</v>
      </c>
      <c r="E43" s="15" t="s">
        <v>297</v>
      </c>
      <c r="H43" s="10"/>
      <c r="I43" s="10"/>
    </row>
    <row r="44" spans="1:9" x14ac:dyDescent="0.2">
      <c r="A44" s="10">
        <v>19826</v>
      </c>
      <c r="B44" s="11">
        <v>42495</v>
      </c>
      <c r="C44" s="12">
        <v>73.5</v>
      </c>
      <c r="D44" s="12"/>
      <c r="E44" s="15" t="s">
        <v>642</v>
      </c>
      <c r="F44" s="20">
        <f>+C36+43.95+C41</f>
        <v>183.59</v>
      </c>
      <c r="G44" s="20">
        <v>181.59</v>
      </c>
      <c r="H44" s="10"/>
      <c r="I44" s="10"/>
    </row>
    <row r="45" spans="1:9" x14ac:dyDescent="0.2">
      <c r="A45" s="10">
        <v>19827</v>
      </c>
      <c r="B45" s="11">
        <v>42496</v>
      </c>
      <c r="C45" s="12">
        <v>197.02</v>
      </c>
      <c r="D45" s="12">
        <v>15.02</v>
      </c>
      <c r="E45" s="15" t="s">
        <v>11</v>
      </c>
      <c r="H45" s="10"/>
      <c r="I45" s="10"/>
    </row>
    <row r="46" spans="1:9" x14ac:dyDescent="0.2">
      <c r="A46" s="10">
        <v>19828</v>
      </c>
      <c r="B46" s="11">
        <v>42496</v>
      </c>
      <c r="C46" s="12">
        <v>164.54</v>
      </c>
      <c r="D46" s="12">
        <v>12.54</v>
      </c>
      <c r="E46" s="13" t="s">
        <v>655</v>
      </c>
      <c r="H46" s="12"/>
      <c r="I46" s="10"/>
    </row>
    <row r="47" spans="1:9" x14ac:dyDescent="0.2">
      <c r="A47" s="10">
        <v>19829</v>
      </c>
      <c r="B47" s="11">
        <v>42496</v>
      </c>
      <c r="C47" s="12">
        <v>192.69</v>
      </c>
      <c r="D47" s="12">
        <v>14.69</v>
      </c>
      <c r="E47" s="15"/>
      <c r="H47" s="10"/>
      <c r="I47" s="10"/>
    </row>
    <row r="48" spans="1:9" x14ac:dyDescent="0.2">
      <c r="A48" s="10">
        <v>19830</v>
      </c>
      <c r="B48" s="11">
        <v>42496</v>
      </c>
      <c r="C48" s="12">
        <v>71</v>
      </c>
      <c r="D48" s="12">
        <v>5.41</v>
      </c>
      <c r="E48" s="17"/>
      <c r="F48" s="18"/>
      <c r="G48" s="19"/>
      <c r="H48" s="12"/>
      <c r="I48" s="10"/>
    </row>
    <row r="49" spans="1:9" x14ac:dyDescent="0.2">
      <c r="A49" s="10">
        <v>19831</v>
      </c>
      <c r="B49" s="11">
        <v>42496</v>
      </c>
      <c r="C49" s="12">
        <v>47.41</v>
      </c>
      <c r="D49" s="12">
        <v>3.61</v>
      </c>
      <c r="E49" s="17"/>
      <c r="F49" s="18"/>
      <c r="G49" s="19"/>
      <c r="H49" s="12"/>
      <c r="I49" s="10"/>
    </row>
    <row r="50" spans="1:9" x14ac:dyDescent="0.2">
      <c r="A50" s="10">
        <v>19832</v>
      </c>
      <c r="B50" s="11">
        <v>42496</v>
      </c>
      <c r="C50" s="12">
        <v>18.349999999999998</v>
      </c>
      <c r="D50" s="12">
        <v>1.4</v>
      </c>
      <c r="E50" s="15" t="s">
        <v>11</v>
      </c>
      <c r="F50" s="21"/>
      <c r="G50" s="22"/>
      <c r="H50" s="10"/>
      <c r="I50" s="10"/>
    </row>
    <row r="51" spans="1:9" x14ac:dyDescent="0.2">
      <c r="A51" s="10">
        <v>19833</v>
      </c>
      <c r="B51" s="11">
        <v>42496</v>
      </c>
      <c r="C51" s="12">
        <v>74.959999999999994</v>
      </c>
      <c r="D51" s="12">
        <v>5.71</v>
      </c>
      <c r="E51" s="15" t="s">
        <v>11</v>
      </c>
      <c r="F51" s="21"/>
      <c r="G51" s="22"/>
      <c r="H51" s="10"/>
      <c r="I51" s="10"/>
    </row>
    <row r="52" spans="1:9" x14ac:dyDescent="0.2">
      <c r="A52" s="10">
        <v>19834</v>
      </c>
      <c r="B52" s="11">
        <v>42496</v>
      </c>
      <c r="C52" s="12">
        <v>24.84</v>
      </c>
      <c r="D52" s="12">
        <v>1.89</v>
      </c>
      <c r="E52" s="17"/>
      <c r="F52" s="20">
        <f>+C39+C45+4.54+C50+C51</f>
        <v>338.16999999999996</v>
      </c>
      <c r="G52" s="20">
        <v>329.85</v>
      </c>
      <c r="H52" s="12"/>
      <c r="I52" s="10"/>
    </row>
    <row r="53" spans="1:9" x14ac:dyDescent="0.2">
      <c r="A53" s="10">
        <v>19835</v>
      </c>
      <c r="B53" s="11">
        <v>42497</v>
      </c>
      <c r="C53" s="12">
        <v>62.730000000000004</v>
      </c>
      <c r="D53" s="12">
        <v>4.78</v>
      </c>
      <c r="E53" s="15" t="s">
        <v>11</v>
      </c>
      <c r="F53" s="21"/>
      <c r="G53" s="22"/>
      <c r="H53" s="10"/>
      <c r="I53" s="10"/>
    </row>
    <row r="54" spans="1:9" x14ac:dyDescent="0.2">
      <c r="A54" s="10">
        <v>19836</v>
      </c>
      <c r="B54" s="11">
        <v>42497</v>
      </c>
      <c r="C54" s="12">
        <v>18</v>
      </c>
      <c r="D54" s="12"/>
      <c r="E54" s="15" t="s">
        <v>25</v>
      </c>
      <c r="F54" s="21"/>
      <c r="G54" s="22"/>
      <c r="H54" s="10"/>
      <c r="I54" s="10"/>
    </row>
    <row r="55" spans="1:9" x14ac:dyDescent="0.2">
      <c r="A55" s="10">
        <v>19837</v>
      </c>
      <c r="B55" s="11">
        <v>42497</v>
      </c>
      <c r="C55" s="12">
        <v>54.44</v>
      </c>
      <c r="D55" s="12"/>
      <c r="E55" s="15" t="s">
        <v>642</v>
      </c>
      <c r="F55" s="21"/>
      <c r="G55" s="22"/>
      <c r="H55" s="10"/>
      <c r="I55" s="10"/>
    </row>
    <row r="56" spans="1:9" x14ac:dyDescent="0.2">
      <c r="A56" s="10">
        <v>19838</v>
      </c>
      <c r="B56" s="11">
        <v>42497</v>
      </c>
      <c r="C56" s="12">
        <v>27.06</v>
      </c>
      <c r="D56" s="12">
        <v>2.06</v>
      </c>
      <c r="E56" s="17"/>
      <c r="H56" s="12"/>
      <c r="I56" s="10"/>
    </row>
    <row r="57" spans="1:9" x14ac:dyDescent="0.2">
      <c r="A57" s="10">
        <v>19839</v>
      </c>
      <c r="B57" s="11">
        <v>42497</v>
      </c>
      <c r="C57" s="12">
        <v>14.07</v>
      </c>
      <c r="D57" s="12">
        <v>1.07</v>
      </c>
      <c r="E57" s="15" t="s">
        <v>11</v>
      </c>
      <c r="H57" s="10"/>
      <c r="I57" s="10"/>
    </row>
    <row r="58" spans="1:9" x14ac:dyDescent="0.2">
      <c r="A58" s="10">
        <v>19840</v>
      </c>
      <c r="B58" s="11">
        <v>42497</v>
      </c>
      <c r="C58" s="12">
        <v>127.92</v>
      </c>
      <c r="D58" s="12"/>
      <c r="E58" s="15" t="s">
        <v>642</v>
      </c>
      <c r="F58" s="21"/>
      <c r="G58" s="22"/>
      <c r="H58" s="10"/>
      <c r="I58" s="10"/>
    </row>
    <row r="59" spans="1:9" x14ac:dyDescent="0.2">
      <c r="A59" s="10">
        <v>19841</v>
      </c>
      <c r="B59" s="11">
        <v>42497</v>
      </c>
      <c r="C59" s="12">
        <v>102.84</v>
      </c>
      <c r="D59" s="12">
        <v>7.84</v>
      </c>
      <c r="E59" s="15" t="s">
        <v>11</v>
      </c>
      <c r="H59" s="10"/>
      <c r="I59" s="10"/>
    </row>
    <row r="60" spans="1:9" x14ac:dyDescent="0.2">
      <c r="A60" s="10">
        <v>19842</v>
      </c>
      <c r="B60" s="11">
        <v>42497</v>
      </c>
      <c r="C60" s="12">
        <v>93.1</v>
      </c>
      <c r="D60" s="12">
        <v>7.1</v>
      </c>
      <c r="E60" s="15"/>
      <c r="H60" s="10"/>
      <c r="I60" s="10"/>
    </row>
    <row r="61" spans="1:9" x14ac:dyDescent="0.2">
      <c r="A61" s="10">
        <v>19843</v>
      </c>
      <c r="B61" s="11">
        <v>42497</v>
      </c>
      <c r="C61" s="12">
        <v>81.19</v>
      </c>
      <c r="D61" s="12">
        <v>6.19</v>
      </c>
      <c r="E61" s="17"/>
      <c r="F61" s="18"/>
      <c r="G61" s="19"/>
      <c r="H61" s="12"/>
      <c r="I61" s="10"/>
    </row>
    <row r="62" spans="1:9" x14ac:dyDescent="0.2">
      <c r="A62" s="10">
        <v>19844</v>
      </c>
      <c r="B62" s="11">
        <v>42497</v>
      </c>
      <c r="C62" s="12">
        <v>12</v>
      </c>
      <c r="D62" s="12">
        <v>0.91</v>
      </c>
      <c r="E62" s="15" t="s">
        <v>523</v>
      </c>
      <c r="H62" s="10"/>
      <c r="I62" s="10"/>
    </row>
    <row r="63" spans="1:9" x14ac:dyDescent="0.2">
      <c r="A63" s="10">
        <v>19845</v>
      </c>
      <c r="B63" s="11">
        <v>42497</v>
      </c>
      <c r="C63" s="12">
        <v>23.82</v>
      </c>
      <c r="D63" s="12">
        <v>1.82</v>
      </c>
      <c r="E63" s="15"/>
      <c r="H63" s="10"/>
      <c r="I63" s="10"/>
    </row>
    <row r="64" spans="1:9" x14ac:dyDescent="0.2">
      <c r="A64" s="10">
        <v>19846</v>
      </c>
      <c r="B64" s="11">
        <v>42497</v>
      </c>
      <c r="C64" s="12">
        <v>212</v>
      </c>
      <c r="D64" s="12">
        <v>16.16</v>
      </c>
      <c r="E64" s="17"/>
      <c r="F64" s="20">
        <f>203+C53+C57+C59+C62+209.19</f>
        <v>603.82999999999993</v>
      </c>
      <c r="G64" s="20">
        <v>598.09</v>
      </c>
      <c r="H64" s="12"/>
      <c r="I64" s="10"/>
    </row>
    <row r="65" spans="1:9" x14ac:dyDescent="0.2">
      <c r="A65" s="10">
        <v>19847</v>
      </c>
      <c r="B65" s="11">
        <v>42499</v>
      </c>
      <c r="C65" s="12">
        <v>188.9</v>
      </c>
      <c r="D65" s="12">
        <v>14.4</v>
      </c>
      <c r="E65" s="15"/>
      <c r="H65" s="10"/>
      <c r="I65" s="10"/>
    </row>
    <row r="66" spans="1:9" x14ac:dyDescent="0.2">
      <c r="A66" s="10">
        <v>19848</v>
      </c>
      <c r="B66" s="11">
        <v>42499</v>
      </c>
      <c r="C66" s="12">
        <v>142.88999999999999</v>
      </c>
      <c r="D66" s="12">
        <v>10.89</v>
      </c>
      <c r="E66" s="17"/>
      <c r="F66" s="18"/>
      <c r="G66" s="19"/>
      <c r="H66" s="12"/>
      <c r="I66" s="10"/>
    </row>
    <row r="67" spans="1:9" x14ac:dyDescent="0.2">
      <c r="A67" s="10">
        <v>19849</v>
      </c>
      <c r="B67" s="11">
        <v>42499</v>
      </c>
      <c r="C67" s="12">
        <v>42.5</v>
      </c>
      <c r="D67" s="12"/>
      <c r="E67" s="13" t="s">
        <v>656</v>
      </c>
      <c r="F67" s="18"/>
      <c r="G67" s="19"/>
      <c r="H67" s="12"/>
      <c r="I67" s="10"/>
    </row>
    <row r="68" spans="1:9" x14ac:dyDescent="0.2">
      <c r="A68" s="10">
        <v>19850</v>
      </c>
      <c r="B68" s="11">
        <v>42499</v>
      </c>
      <c r="C68" s="12">
        <v>60.35</v>
      </c>
      <c r="D68" s="12">
        <v>4.5999999999999996</v>
      </c>
      <c r="E68" s="17"/>
      <c r="H68" s="12"/>
      <c r="I68" s="10"/>
    </row>
    <row r="69" spans="1:9" x14ac:dyDescent="0.2">
      <c r="A69" s="10">
        <v>19851</v>
      </c>
      <c r="B69" s="11">
        <v>42499</v>
      </c>
      <c r="C69" s="12">
        <v>21.18</v>
      </c>
      <c r="D69" s="12">
        <v>1.61</v>
      </c>
      <c r="E69" s="17"/>
      <c r="H69" s="12"/>
      <c r="I69" s="10"/>
    </row>
    <row r="70" spans="1:9" x14ac:dyDescent="0.2">
      <c r="A70" s="10">
        <v>19852</v>
      </c>
      <c r="B70" s="11">
        <v>42499</v>
      </c>
      <c r="C70" s="12">
        <v>119</v>
      </c>
      <c r="D70" s="12">
        <v>9.07</v>
      </c>
      <c r="E70" s="17"/>
      <c r="F70" s="18"/>
      <c r="G70" s="19"/>
      <c r="H70" s="12"/>
      <c r="I70" s="10"/>
    </row>
    <row r="71" spans="1:9" x14ac:dyDescent="0.2">
      <c r="A71" s="10">
        <v>19853</v>
      </c>
      <c r="B71" s="11">
        <v>42499</v>
      </c>
      <c r="C71" s="12">
        <v>56</v>
      </c>
      <c r="D71" s="12">
        <v>4.26</v>
      </c>
      <c r="E71" s="23"/>
      <c r="H71" s="10"/>
      <c r="I71" s="10"/>
    </row>
    <row r="72" spans="1:9" x14ac:dyDescent="0.2">
      <c r="A72" s="10">
        <v>19854</v>
      </c>
      <c r="B72" s="11">
        <v>42499</v>
      </c>
      <c r="C72" s="12">
        <v>38.97</v>
      </c>
      <c r="D72" s="12">
        <v>2.97</v>
      </c>
      <c r="E72" s="17"/>
      <c r="H72" s="12"/>
      <c r="I72" s="10"/>
    </row>
    <row r="73" spans="1:9" x14ac:dyDescent="0.2">
      <c r="A73" s="10">
        <v>19855</v>
      </c>
      <c r="B73" s="11">
        <v>42499</v>
      </c>
      <c r="C73" s="12">
        <v>14.07</v>
      </c>
      <c r="D73" s="12">
        <v>1.07</v>
      </c>
      <c r="E73" s="15" t="s">
        <v>21</v>
      </c>
      <c r="F73" s="20">
        <v>429.1</v>
      </c>
      <c r="G73" s="20">
        <v>420.58</v>
      </c>
      <c r="H73" s="10"/>
      <c r="I73" s="10"/>
    </row>
    <row r="74" spans="1:9" x14ac:dyDescent="0.2">
      <c r="A74" s="10">
        <v>19856</v>
      </c>
      <c r="B74" s="11">
        <v>42500</v>
      </c>
      <c r="C74" s="12">
        <v>-21.7</v>
      </c>
      <c r="D74" s="12">
        <v>-1.65</v>
      </c>
      <c r="E74" s="17"/>
      <c r="F74" s="18"/>
      <c r="G74" s="19"/>
      <c r="H74" s="12"/>
      <c r="I74" s="10"/>
    </row>
    <row r="75" spans="1:9" x14ac:dyDescent="0.2">
      <c r="A75" s="10">
        <v>19857</v>
      </c>
      <c r="B75" s="11">
        <v>42500</v>
      </c>
      <c r="C75" s="12">
        <v>327.02000000000004</v>
      </c>
      <c r="D75" s="12">
        <v>24.92</v>
      </c>
      <c r="E75" s="15" t="s">
        <v>21</v>
      </c>
      <c r="F75" s="21"/>
      <c r="G75" s="22"/>
      <c r="H75" s="10"/>
      <c r="I75" s="10"/>
    </row>
    <row r="76" spans="1:9" x14ac:dyDescent="0.2">
      <c r="A76" s="10">
        <v>19858</v>
      </c>
      <c r="B76" s="11">
        <v>42500</v>
      </c>
      <c r="C76" s="12">
        <v>0</v>
      </c>
      <c r="D76" s="12">
        <v>0</v>
      </c>
      <c r="E76" s="15" t="s">
        <v>657</v>
      </c>
      <c r="H76" s="10"/>
      <c r="I76" s="10"/>
    </row>
    <row r="77" spans="1:9" x14ac:dyDescent="0.2">
      <c r="A77" s="10">
        <v>19859</v>
      </c>
      <c r="B77" s="11">
        <v>42500</v>
      </c>
      <c r="C77" s="12">
        <v>264.52</v>
      </c>
      <c r="D77" s="12"/>
      <c r="E77" s="15" t="s">
        <v>642</v>
      </c>
      <c r="F77" s="21"/>
      <c r="G77" s="22"/>
      <c r="H77" s="10"/>
      <c r="I77" s="10"/>
    </row>
    <row r="78" spans="1:9" x14ac:dyDescent="0.2">
      <c r="A78" s="10">
        <v>19860</v>
      </c>
      <c r="B78" s="11">
        <v>42500</v>
      </c>
      <c r="C78" s="12">
        <v>24.5</v>
      </c>
      <c r="D78" s="12"/>
      <c r="E78" s="15" t="s">
        <v>25</v>
      </c>
      <c r="H78" s="10"/>
      <c r="I78" s="10"/>
    </row>
    <row r="79" spans="1:9" x14ac:dyDescent="0.2">
      <c r="A79" s="10">
        <v>19861</v>
      </c>
      <c r="B79" s="11">
        <v>42500</v>
      </c>
      <c r="C79" s="12">
        <v>7.5</v>
      </c>
      <c r="D79" s="12"/>
      <c r="E79" s="17"/>
      <c r="F79" s="18"/>
      <c r="G79" s="19"/>
      <c r="H79" s="12"/>
      <c r="I79" s="10"/>
    </row>
    <row r="80" spans="1:9" x14ac:dyDescent="0.2">
      <c r="A80" s="10">
        <v>19862</v>
      </c>
      <c r="B80" s="11">
        <v>42500</v>
      </c>
      <c r="C80" s="12">
        <v>-61.7</v>
      </c>
      <c r="D80" s="12">
        <v>-4.7</v>
      </c>
      <c r="E80" s="17"/>
      <c r="F80" s="18"/>
      <c r="G80" s="19"/>
      <c r="H80" s="12"/>
      <c r="I80" s="10"/>
    </row>
    <row r="81" spans="1:9" x14ac:dyDescent="0.2">
      <c r="A81" s="10">
        <v>19863</v>
      </c>
      <c r="B81" s="11">
        <v>42500</v>
      </c>
      <c r="C81" s="12">
        <v>218.67000000000002</v>
      </c>
      <c r="D81" s="12">
        <v>16.670000000000002</v>
      </c>
      <c r="E81" s="17"/>
      <c r="H81" s="12"/>
      <c r="I81" s="10"/>
    </row>
    <row r="82" spans="1:9" x14ac:dyDescent="0.2">
      <c r="A82" s="10">
        <v>19864</v>
      </c>
      <c r="B82" s="11">
        <v>42500</v>
      </c>
      <c r="C82" s="12">
        <v>9.74</v>
      </c>
      <c r="D82" s="12">
        <v>0.74</v>
      </c>
      <c r="E82" s="15" t="s">
        <v>11</v>
      </c>
      <c r="H82" s="10"/>
      <c r="I82" s="10"/>
    </row>
    <row r="83" spans="1:9" x14ac:dyDescent="0.2">
      <c r="A83" s="10">
        <v>19865</v>
      </c>
      <c r="B83" s="11">
        <v>42500</v>
      </c>
      <c r="C83" s="12">
        <v>128.71</v>
      </c>
      <c r="D83" s="12">
        <v>9.81</v>
      </c>
      <c r="E83" s="15" t="s">
        <v>26</v>
      </c>
      <c r="H83" s="10"/>
      <c r="I83" s="10"/>
    </row>
    <row r="84" spans="1:9" x14ac:dyDescent="0.2">
      <c r="A84" s="10">
        <v>19866</v>
      </c>
      <c r="B84" s="11">
        <v>42500</v>
      </c>
      <c r="C84" s="12">
        <v>12.99</v>
      </c>
      <c r="D84" s="12">
        <v>0.99</v>
      </c>
      <c r="E84" s="15" t="s">
        <v>11</v>
      </c>
      <c r="F84" s="20">
        <f>+C82+C84+C27</f>
        <v>73.61</v>
      </c>
      <c r="G84" s="20">
        <v>72.34</v>
      </c>
      <c r="H84" s="10"/>
      <c r="I84" s="10"/>
    </row>
    <row r="85" spans="1:9" x14ac:dyDescent="0.2">
      <c r="A85" s="10">
        <v>19867</v>
      </c>
      <c r="B85" s="11">
        <v>42501</v>
      </c>
      <c r="C85" s="12">
        <v>16.18</v>
      </c>
      <c r="D85" s="12">
        <v>1.23</v>
      </c>
      <c r="E85" s="17"/>
      <c r="F85" s="18"/>
      <c r="G85" s="19"/>
      <c r="H85" s="12"/>
      <c r="I85" s="10"/>
    </row>
    <row r="86" spans="1:9" x14ac:dyDescent="0.2">
      <c r="A86" s="10">
        <v>19868</v>
      </c>
      <c r="B86" s="11">
        <v>42501</v>
      </c>
      <c r="C86" s="12">
        <v>266.3</v>
      </c>
      <c r="D86" s="12">
        <v>20.3</v>
      </c>
      <c r="E86" s="15" t="s">
        <v>11</v>
      </c>
      <c r="H86" s="10"/>
      <c r="I86" s="10"/>
    </row>
    <row r="87" spans="1:9" x14ac:dyDescent="0.2">
      <c r="A87" s="10">
        <v>19869</v>
      </c>
      <c r="B87" s="11">
        <v>42501</v>
      </c>
      <c r="C87" s="12">
        <v>69</v>
      </c>
      <c r="D87" s="12"/>
      <c r="E87" s="15" t="s">
        <v>16</v>
      </c>
      <c r="H87" s="10"/>
      <c r="I87" s="10"/>
    </row>
    <row r="88" spans="1:9" x14ac:dyDescent="0.2">
      <c r="A88" s="10">
        <v>19870</v>
      </c>
      <c r="B88" s="11">
        <v>42501</v>
      </c>
      <c r="C88" s="12">
        <v>127.92</v>
      </c>
      <c r="D88" s="12"/>
      <c r="E88" s="15" t="s">
        <v>642</v>
      </c>
      <c r="F88" s="20">
        <f>+C86+30</f>
        <v>296.3</v>
      </c>
      <c r="G88" s="20">
        <v>293.54000000000002</v>
      </c>
      <c r="H88" s="10"/>
      <c r="I88" s="10"/>
    </row>
    <row r="89" spans="1:9" x14ac:dyDescent="0.2">
      <c r="A89" s="10">
        <v>19871</v>
      </c>
      <c r="B89" s="11">
        <v>42502</v>
      </c>
      <c r="C89" s="12">
        <v>5.41</v>
      </c>
      <c r="D89" s="12">
        <v>0.41</v>
      </c>
      <c r="E89" s="17"/>
      <c r="F89" s="18"/>
      <c r="G89" s="19"/>
      <c r="H89" s="12"/>
      <c r="I89" s="10"/>
    </row>
    <row r="90" spans="1:9" x14ac:dyDescent="0.2">
      <c r="A90" s="10">
        <v>19872</v>
      </c>
      <c r="B90" s="11">
        <v>42502</v>
      </c>
      <c r="C90" s="12">
        <v>30.31</v>
      </c>
      <c r="D90" s="12">
        <v>2.31</v>
      </c>
      <c r="E90" s="17"/>
      <c r="F90" s="18"/>
      <c r="G90" s="19"/>
      <c r="H90" s="12"/>
      <c r="I90" s="10"/>
    </row>
    <row r="91" spans="1:9" x14ac:dyDescent="0.2">
      <c r="A91" s="10">
        <v>19873</v>
      </c>
      <c r="B91" s="11">
        <v>42502</v>
      </c>
      <c r="C91" s="12">
        <v>15</v>
      </c>
      <c r="D91" s="12">
        <v>1.1399999999999999</v>
      </c>
      <c r="E91" s="17"/>
      <c r="H91" s="12"/>
      <c r="I91" s="10"/>
    </row>
    <row r="92" spans="1:9" x14ac:dyDescent="0.2">
      <c r="A92" s="10">
        <v>19874</v>
      </c>
      <c r="B92" s="11">
        <v>42502</v>
      </c>
      <c r="C92" s="12">
        <v>130</v>
      </c>
      <c r="D92" s="12"/>
      <c r="E92" s="15" t="s">
        <v>16</v>
      </c>
      <c r="H92" s="10"/>
      <c r="I92" s="10"/>
    </row>
    <row r="93" spans="1:9" x14ac:dyDescent="0.2">
      <c r="A93" s="10">
        <v>19875</v>
      </c>
      <c r="B93" s="11">
        <v>42502</v>
      </c>
      <c r="C93" s="12">
        <v>20</v>
      </c>
      <c r="D93" s="12">
        <v>1.52</v>
      </c>
      <c r="E93" s="17"/>
      <c r="H93" s="12"/>
      <c r="I93" s="10"/>
    </row>
    <row r="94" spans="1:9" x14ac:dyDescent="0.2">
      <c r="A94" s="10">
        <v>19876</v>
      </c>
      <c r="B94" s="11">
        <v>42502</v>
      </c>
      <c r="C94" s="12">
        <v>12.99</v>
      </c>
      <c r="D94" s="12">
        <v>0.99</v>
      </c>
      <c r="E94" s="17"/>
      <c r="F94" s="18"/>
      <c r="G94" s="19"/>
      <c r="H94" s="12"/>
      <c r="I94" s="10"/>
    </row>
    <row r="95" spans="1:9" x14ac:dyDescent="0.2">
      <c r="A95" s="10">
        <v>19877</v>
      </c>
      <c r="B95" s="11">
        <v>42502</v>
      </c>
      <c r="C95" s="12">
        <v>120.16</v>
      </c>
      <c r="D95" s="12">
        <v>9.16</v>
      </c>
      <c r="E95" s="15" t="s">
        <v>523</v>
      </c>
      <c r="F95" s="20">
        <f>+C95</f>
        <v>120.16</v>
      </c>
      <c r="G95" s="20">
        <v>119.12</v>
      </c>
      <c r="H95" s="10"/>
      <c r="I95" s="10"/>
    </row>
    <row r="96" spans="1:9" x14ac:dyDescent="0.2">
      <c r="A96" s="10">
        <v>19878</v>
      </c>
      <c r="B96" s="11">
        <v>42503</v>
      </c>
      <c r="C96" s="12">
        <v>71.66</v>
      </c>
      <c r="D96" s="12">
        <v>5.46</v>
      </c>
      <c r="E96" s="15" t="s">
        <v>7</v>
      </c>
      <c r="H96" s="10"/>
      <c r="I96" s="10"/>
    </row>
    <row r="97" spans="1:9" x14ac:dyDescent="0.2">
      <c r="A97" s="10">
        <v>19879</v>
      </c>
      <c r="B97" s="11">
        <v>42503</v>
      </c>
      <c r="C97" s="12">
        <v>189.98</v>
      </c>
      <c r="D97" s="12">
        <v>14.48</v>
      </c>
      <c r="E97" s="15" t="s">
        <v>11</v>
      </c>
      <c r="H97" s="10"/>
      <c r="I97" s="10"/>
    </row>
    <row r="98" spans="1:9" x14ac:dyDescent="0.2">
      <c r="A98" s="10">
        <v>19880</v>
      </c>
      <c r="B98" s="11">
        <v>42503</v>
      </c>
      <c r="C98" s="12">
        <v>119</v>
      </c>
      <c r="D98" s="12"/>
      <c r="E98" s="15" t="s">
        <v>642</v>
      </c>
      <c r="H98" s="10"/>
      <c r="I98" s="10"/>
    </row>
    <row r="99" spans="1:9" x14ac:dyDescent="0.2">
      <c r="A99" s="10">
        <v>19881</v>
      </c>
      <c r="B99" s="11">
        <v>42503</v>
      </c>
      <c r="C99" s="12">
        <v>163.57</v>
      </c>
      <c r="D99" s="12">
        <v>12.47</v>
      </c>
      <c r="E99" s="15" t="s">
        <v>11</v>
      </c>
      <c r="F99" s="21"/>
      <c r="G99" s="22"/>
      <c r="H99" s="10"/>
      <c r="I99" s="10"/>
    </row>
    <row r="100" spans="1:9" x14ac:dyDescent="0.2">
      <c r="A100" s="10">
        <v>19882</v>
      </c>
      <c r="B100" s="11">
        <v>42503</v>
      </c>
      <c r="C100" s="12">
        <v>24.29</v>
      </c>
      <c r="D100" s="12"/>
      <c r="E100" s="15" t="s">
        <v>658</v>
      </c>
      <c r="H100" s="10"/>
      <c r="I100" s="10"/>
    </row>
    <row r="101" spans="1:9" x14ac:dyDescent="0.2">
      <c r="A101" s="10">
        <v>19883</v>
      </c>
      <c r="B101" s="11">
        <v>42503</v>
      </c>
      <c r="C101" s="12">
        <v>49.36</v>
      </c>
      <c r="D101" s="12">
        <v>3.76</v>
      </c>
      <c r="E101" s="15" t="s">
        <v>11</v>
      </c>
      <c r="F101" s="115"/>
      <c r="G101" s="115"/>
      <c r="H101" s="10"/>
      <c r="I101" s="10"/>
    </row>
    <row r="102" spans="1:9" x14ac:dyDescent="0.2">
      <c r="A102" s="10">
        <v>19884</v>
      </c>
      <c r="B102" s="11">
        <v>42503</v>
      </c>
      <c r="C102" s="12">
        <v>193.77</v>
      </c>
      <c r="D102" s="12">
        <v>14.77</v>
      </c>
      <c r="E102" s="15" t="s">
        <v>11</v>
      </c>
      <c r="F102" s="21"/>
      <c r="G102" s="22"/>
      <c r="H102" s="10"/>
      <c r="I102" s="10"/>
    </row>
    <row r="103" spans="1:9" x14ac:dyDescent="0.2">
      <c r="A103" s="10">
        <v>19885</v>
      </c>
      <c r="B103" s="11">
        <v>42503</v>
      </c>
      <c r="C103" s="12">
        <v>42.160000000000004</v>
      </c>
      <c r="D103" s="12">
        <v>3.21</v>
      </c>
      <c r="E103" s="17"/>
      <c r="H103" s="12"/>
      <c r="I103" s="10"/>
    </row>
    <row r="104" spans="1:9" x14ac:dyDescent="0.2">
      <c r="A104" s="10">
        <v>19886</v>
      </c>
      <c r="B104" s="11">
        <v>42503</v>
      </c>
      <c r="C104" s="12">
        <v>24.92</v>
      </c>
      <c r="D104" s="12"/>
      <c r="E104" s="15" t="s">
        <v>16</v>
      </c>
      <c r="F104" s="20">
        <f>+C97+C99+C75+C96+C101+C102</f>
        <v>995.3599999999999</v>
      </c>
      <c r="G104" s="20">
        <v>987.47</v>
      </c>
      <c r="H104" s="10"/>
      <c r="I104" s="10"/>
    </row>
    <row r="105" spans="1:9" x14ac:dyDescent="0.2">
      <c r="A105" s="10">
        <v>19887</v>
      </c>
      <c r="B105" s="11">
        <v>42504</v>
      </c>
      <c r="C105" s="12">
        <v>164.65</v>
      </c>
      <c r="D105" s="12">
        <v>12.55</v>
      </c>
      <c r="E105" s="15" t="s">
        <v>523</v>
      </c>
      <c r="F105" s="21"/>
      <c r="G105" s="22"/>
      <c r="H105" s="10"/>
      <c r="I105" s="10"/>
    </row>
    <row r="106" spans="1:9" x14ac:dyDescent="0.2">
      <c r="A106" s="10">
        <v>19888</v>
      </c>
      <c r="B106" s="11">
        <v>42504</v>
      </c>
      <c r="C106" s="12">
        <v>75</v>
      </c>
      <c r="D106" s="12">
        <v>5.71</v>
      </c>
      <c r="E106" s="17"/>
      <c r="H106" s="12"/>
      <c r="I106" s="10"/>
    </row>
    <row r="107" spans="1:9" x14ac:dyDescent="0.2">
      <c r="A107" s="10">
        <v>19889</v>
      </c>
      <c r="B107" s="11">
        <v>42504</v>
      </c>
      <c r="C107" s="12">
        <v>550</v>
      </c>
      <c r="D107" s="12">
        <v>42.3</v>
      </c>
      <c r="E107" s="15"/>
      <c r="H107" s="10"/>
      <c r="I107" s="10"/>
    </row>
    <row r="108" spans="1:9" x14ac:dyDescent="0.2">
      <c r="A108" s="10">
        <v>19890</v>
      </c>
      <c r="B108" s="11">
        <v>42504</v>
      </c>
      <c r="C108" s="12">
        <v>22.68</v>
      </c>
      <c r="D108" s="12">
        <v>1.73</v>
      </c>
      <c r="E108" s="15" t="s">
        <v>11</v>
      </c>
      <c r="H108" s="10"/>
      <c r="I108" s="10"/>
    </row>
    <row r="109" spans="1:9" x14ac:dyDescent="0.2">
      <c r="A109" s="10">
        <v>19891</v>
      </c>
      <c r="B109" s="11">
        <v>42504</v>
      </c>
      <c r="C109" s="12">
        <v>140</v>
      </c>
      <c r="D109" s="12">
        <v>10.67</v>
      </c>
      <c r="E109" s="17"/>
      <c r="H109" s="12"/>
      <c r="I109" s="10"/>
    </row>
    <row r="110" spans="1:9" x14ac:dyDescent="0.2">
      <c r="A110" s="10">
        <v>19892</v>
      </c>
      <c r="B110" s="11">
        <v>42504</v>
      </c>
      <c r="C110" s="12">
        <v>25</v>
      </c>
      <c r="D110" s="12">
        <v>1.9</v>
      </c>
      <c r="E110" s="17"/>
      <c r="H110" s="12"/>
      <c r="I110" s="10"/>
    </row>
    <row r="111" spans="1:9" x14ac:dyDescent="0.2">
      <c r="A111" s="10">
        <v>19893</v>
      </c>
      <c r="B111" s="11">
        <v>42504</v>
      </c>
      <c r="C111" s="12">
        <v>11.91</v>
      </c>
      <c r="D111" s="12">
        <v>0.91</v>
      </c>
      <c r="E111" s="17"/>
      <c r="H111" s="12"/>
      <c r="I111" s="12"/>
    </row>
    <row r="112" spans="1:9" x14ac:dyDescent="0.2">
      <c r="A112" s="10">
        <v>19894</v>
      </c>
      <c r="B112" s="11">
        <v>42504</v>
      </c>
      <c r="C112" s="12">
        <v>9.74</v>
      </c>
      <c r="D112" s="12">
        <v>0.74</v>
      </c>
      <c r="E112" s="17"/>
      <c r="H112" s="12"/>
      <c r="I112" s="10"/>
    </row>
    <row r="113" spans="1:9" x14ac:dyDescent="0.2">
      <c r="A113" s="10">
        <v>19895</v>
      </c>
      <c r="B113" s="11">
        <v>42504</v>
      </c>
      <c r="C113" s="12">
        <v>15.16</v>
      </c>
      <c r="D113" s="12">
        <v>1.1599999999999999</v>
      </c>
      <c r="E113" s="17"/>
      <c r="F113" s="20">
        <f>+C105+C108</f>
        <v>187.33</v>
      </c>
      <c r="G113" s="20">
        <v>184.8</v>
      </c>
      <c r="H113" s="12"/>
      <c r="I113" s="10"/>
    </row>
    <row r="114" spans="1:9" x14ac:dyDescent="0.2">
      <c r="A114" s="10">
        <v>19896</v>
      </c>
      <c r="B114" s="11">
        <v>42506</v>
      </c>
      <c r="C114" s="12">
        <v>433</v>
      </c>
      <c r="D114" s="12">
        <v>33</v>
      </c>
      <c r="E114" s="17"/>
      <c r="F114" s="18"/>
      <c r="G114" s="19"/>
      <c r="H114" s="12"/>
      <c r="I114" s="10"/>
    </row>
    <row r="115" spans="1:9" x14ac:dyDescent="0.2">
      <c r="A115" s="10">
        <v>19897</v>
      </c>
      <c r="B115" s="11">
        <v>42506</v>
      </c>
      <c r="C115" s="12">
        <v>120.7</v>
      </c>
      <c r="D115" s="12">
        <v>9.1999999999999993</v>
      </c>
      <c r="E115" s="15" t="s">
        <v>659</v>
      </c>
      <c r="H115" s="10"/>
      <c r="I115" s="10"/>
    </row>
    <row r="116" spans="1:9" x14ac:dyDescent="0.2">
      <c r="A116" s="10">
        <v>19898</v>
      </c>
      <c r="B116" s="11">
        <v>42506</v>
      </c>
      <c r="C116" s="12">
        <v>15</v>
      </c>
      <c r="D116" s="12">
        <v>1.1399999999999999</v>
      </c>
      <c r="E116" s="17"/>
      <c r="F116" s="18"/>
      <c r="G116" s="19"/>
      <c r="H116" s="12"/>
      <c r="I116" s="10"/>
    </row>
    <row r="117" spans="1:9" x14ac:dyDescent="0.2">
      <c r="A117" s="10">
        <v>19899</v>
      </c>
      <c r="B117" s="11">
        <v>42506</v>
      </c>
      <c r="C117" s="12">
        <v>128.82</v>
      </c>
      <c r="D117" s="12">
        <v>9.82</v>
      </c>
      <c r="E117" s="17"/>
      <c r="F117" s="18"/>
      <c r="G117" s="19"/>
      <c r="H117" s="12"/>
      <c r="I117" s="10"/>
    </row>
    <row r="118" spans="1:9" x14ac:dyDescent="0.2">
      <c r="A118" s="10">
        <v>19900</v>
      </c>
      <c r="B118" s="11">
        <v>42506</v>
      </c>
      <c r="C118" s="12">
        <v>80.11</v>
      </c>
      <c r="D118" s="12">
        <v>6.11</v>
      </c>
      <c r="E118" s="17"/>
      <c r="H118" s="12"/>
      <c r="I118" s="10"/>
    </row>
    <row r="119" spans="1:9" x14ac:dyDescent="0.2">
      <c r="A119" s="10">
        <v>19901</v>
      </c>
      <c r="B119" s="11">
        <v>42506</v>
      </c>
      <c r="C119" s="12">
        <v>41</v>
      </c>
      <c r="D119" s="12"/>
      <c r="E119" s="15" t="s">
        <v>25</v>
      </c>
      <c r="H119" s="10"/>
      <c r="I119" s="10"/>
    </row>
    <row r="120" spans="1:9" x14ac:dyDescent="0.2">
      <c r="A120" s="10">
        <v>19902</v>
      </c>
      <c r="B120" s="11">
        <v>42506</v>
      </c>
      <c r="C120" s="12">
        <v>28.04</v>
      </c>
      <c r="D120" s="12">
        <v>2.14</v>
      </c>
      <c r="E120" s="15" t="s">
        <v>7</v>
      </c>
      <c r="H120" s="10"/>
      <c r="I120" s="10"/>
    </row>
    <row r="121" spans="1:9" x14ac:dyDescent="0.2">
      <c r="A121" s="10">
        <v>19903</v>
      </c>
      <c r="B121" s="11">
        <v>42506</v>
      </c>
      <c r="C121" s="12">
        <v>15</v>
      </c>
      <c r="D121" s="12">
        <v>1.1399999999999999</v>
      </c>
      <c r="E121" s="17"/>
      <c r="F121" s="20">
        <f>60.7+C120</f>
        <v>88.740000000000009</v>
      </c>
      <c r="G121" s="20">
        <v>87.44</v>
      </c>
      <c r="H121" s="12"/>
      <c r="I121" s="10"/>
    </row>
    <row r="122" spans="1:9" x14ac:dyDescent="0.2">
      <c r="A122" s="10">
        <v>19904</v>
      </c>
      <c r="B122" s="11">
        <v>42507</v>
      </c>
      <c r="C122" s="12">
        <v>201.35</v>
      </c>
      <c r="D122" s="12">
        <v>15.35</v>
      </c>
      <c r="E122" s="15" t="s">
        <v>11</v>
      </c>
      <c r="H122" s="10"/>
      <c r="I122" s="10"/>
    </row>
    <row r="123" spans="1:9" x14ac:dyDescent="0.2">
      <c r="A123" s="10">
        <v>19905</v>
      </c>
      <c r="B123" s="11">
        <v>42507</v>
      </c>
      <c r="C123" s="12">
        <v>86.6</v>
      </c>
      <c r="D123" s="12"/>
      <c r="E123" s="15" t="s">
        <v>642</v>
      </c>
      <c r="H123" s="10"/>
      <c r="I123" s="10"/>
    </row>
    <row r="124" spans="1:9" x14ac:dyDescent="0.2">
      <c r="A124" s="10">
        <v>19906</v>
      </c>
      <c r="B124" s="11">
        <v>42507</v>
      </c>
      <c r="C124" s="12">
        <v>9.2799999999999994</v>
      </c>
      <c r="D124" s="12"/>
      <c r="E124" s="15" t="s">
        <v>368</v>
      </c>
      <c r="F124" s="21"/>
      <c r="G124" s="22"/>
      <c r="H124" s="10"/>
      <c r="I124" s="10"/>
    </row>
    <row r="125" spans="1:9" x14ac:dyDescent="0.2">
      <c r="A125" s="10">
        <v>19907</v>
      </c>
      <c r="B125" s="11">
        <v>42507</v>
      </c>
      <c r="C125" s="12">
        <v>54.13</v>
      </c>
      <c r="D125" s="12">
        <v>4.13</v>
      </c>
      <c r="E125" s="17"/>
      <c r="H125" s="12"/>
      <c r="I125" s="10"/>
    </row>
    <row r="126" spans="1:9" x14ac:dyDescent="0.2">
      <c r="A126" s="10">
        <v>19908</v>
      </c>
      <c r="B126" s="11">
        <v>42507</v>
      </c>
      <c r="C126" s="12">
        <v>7.5</v>
      </c>
      <c r="D126" s="12">
        <v>0.56999999999999995</v>
      </c>
      <c r="E126" s="17"/>
      <c r="F126" s="20">
        <f>+C122+C124</f>
        <v>210.63</v>
      </c>
      <c r="G126" s="20">
        <v>209.27</v>
      </c>
      <c r="H126" s="12"/>
      <c r="I126" s="10"/>
    </row>
    <row r="127" spans="1:9" x14ac:dyDescent="0.2">
      <c r="A127" s="10">
        <v>19909</v>
      </c>
      <c r="B127" s="11">
        <v>42508</v>
      </c>
      <c r="C127" s="12">
        <v>28.6</v>
      </c>
      <c r="D127" s="12"/>
      <c r="E127" s="15" t="s">
        <v>17</v>
      </c>
      <c r="F127" s="21"/>
      <c r="G127" s="22"/>
      <c r="H127" s="10"/>
      <c r="I127" s="10"/>
    </row>
    <row r="128" spans="1:9" x14ac:dyDescent="0.2">
      <c r="A128" s="10">
        <v>19910</v>
      </c>
      <c r="B128" s="11">
        <v>42508</v>
      </c>
      <c r="C128" s="12">
        <v>34.64</v>
      </c>
      <c r="D128" s="12">
        <v>2.64</v>
      </c>
      <c r="E128" s="15" t="s">
        <v>7</v>
      </c>
      <c r="H128" s="10"/>
      <c r="I128" s="10"/>
    </row>
    <row r="129" spans="1:9" x14ac:dyDescent="0.2">
      <c r="A129" s="10">
        <v>19911</v>
      </c>
      <c r="B129" s="11">
        <v>42508</v>
      </c>
      <c r="C129" s="12">
        <v>53.04</v>
      </c>
      <c r="D129" s="12">
        <v>4.04</v>
      </c>
      <c r="E129" s="17"/>
      <c r="F129" s="18"/>
      <c r="G129" s="19"/>
      <c r="H129" s="12"/>
      <c r="I129" s="10"/>
    </row>
    <row r="130" spans="1:9" x14ac:dyDescent="0.2">
      <c r="A130" s="10">
        <v>19912</v>
      </c>
      <c r="B130" s="11">
        <v>42508</v>
      </c>
      <c r="C130" s="12">
        <v>23.5</v>
      </c>
      <c r="D130" s="12"/>
      <c r="E130" s="15" t="s">
        <v>17</v>
      </c>
      <c r="H130" s="10"/>
      <c r="I130" s="10"/>
    </row>
    <row r="131" spans="1:9" x14ac:dyDescent="0.2">
      <c r="A131" s="10">
        <v>19913</v>
      </c>
      <c r="B131" s="11">
        <v>42508</v>
      </c>
      <c r="C131" s="12">
        <v>15.16</v>
      </c>
      <c r="D131" s="12">
        <v>1.1599999999999999</v>
      </c>
      <c r="E131" s="17"/>
      <c r="F131" s="18"/>
      <c r="G131" s="19"/>
      <c r="H131" s="12"/>
      <c r="I131" s="10"/>
    </row>
    <row r="132" spans="1:9" x14ac:dyDescent="0.2">
      <c r="A132" s="10">
        <v>19914</v>
      </c>
      <c r="B132" s="11">
        <v>42508</v>
      </c>
      <c r="C132" s="12">
        <v>196.47</v>
      </c>
      <c r="D132" s="12">
        <v>14.97</v>
      </c>
      <c r="E132" s="15" t="s">
        <v>11</v>
      </c>
      <c r="F132" s="21"/>
      <c r="G132" s="22"/>
      <c r="H132" s="10"/>
      <c r="I132" s="10"/>
    </row>
    <row r="133" spans="1:9" x14ac:dyDescent="0.2">
      <c r="A133" s="10">
        <v>19915</v>
      </c>
      <c r="B133" s="11">
        <v>42508</v>
      </c>
      <c r="C133" s="12">
        <v>318.8</v>
      </c>
      <c r="D133" s="12">
        <v>24.3</v>
      </c>
      <c r="E133" s="17"/>
      <c r="H133" s="12"/>
      <c r="I133" s="10"/>
    </row>
    <row r="134" spans="1:9" x14ac:dyDescent="0.2">
      <c r="A134" s="10">
        <v>19916</v>
      </c>
      <c r="B134" s="11">
        <v>42508</v>
      </c>
      <c r="C134" s="12">
        <v>2.17</v>
      </c>
      <c r="D134" s="12">
        <v>0.17</v>
      </c>
      <c r="E134" s="17"/>
      <c r="H134" s="12"/>
      <c r="I134" s="10"/>
    </row>
    <row r="135" spans="1:9" x14ac:dyDescent="0.2">
      <c r="A135" s="10">
        <v>19917</v>
      </c>
      <c r="B135" s="11">
        <v>42508</v>
      </c>
      <c r="C135" s="12">
        <v>3.25</v>
      </c>
      <c r="D135" s="12">
        <v>0.25</v>
      </c>
      <c r="E135" s="17"/>
      <c r="F135" s="18"/>
      <c r="G135" s="19"/>
      <c r="H135" s="12"/>
      <c r="I135" s="10"/>
    </row>
    <row r="136" spans="1:9" x14ac:dyDescent="0.2">
      <c r="A136" s="10">
        <v>19918</v>
      </c>
      <c r="B136" s="11">
        <v>42508</v>
      </c>
      <c r="C136" s="12">
        <v>54.94</v>
      </c>
      <c r="D136" s="12">
        <v>4.1900000000000004</v>
      </c>
      <c r="E136" s="17"/>
      <c r="F136" s="18"/>
      <c r="G136" s="19"/>
      <c r="H136" s="12"/>
      <c r="I136" s="10"/>
    </row>
    <row r="137" spans="1:9" x14ac:dyDescent="0.2">
      <c r="A137" s="10">
        <v>19919</v>
      </c>
      <c r="B137" s="11">
        <v>42508</v>
      </c>
      <c r="C137" s="12">
        <v>94.18</v>
      </c>
      <c r="D137" s="12">
        <v>7.18</v>
      </c>
      <c r="E137" s="17"/>
      <c r="H137" s="12"/>
      <c r="I137" s="10"/>
    </row>
    <row r="138" spans="1:9" x14ac:dyDescent="0.2">
      <c r="A138" s="10">
        <v>19920</v>
      </c>
      <c r="B138" s="11">
        <v>42508</v>
      </c>
      <c r="C138" s="12">
        <v>19.97</v>
      </c>
      <c r="D138" s="12">
        <v>1.52</v>
      </c>
      <c r="E138" s="17"/>
      <c r="H138" s="12"/>
      <c r="I138" s="10"/>
    </row>
    <row r="139" spans="1:9" x14ac:dyDescent="0.2">
      <c r="A139" s="10">
        <v>19921</v>
      </c>
      <c r="B139" s="11">
        <v>42508</v>
      </c>
      <c r="C139" s="12">
        <v>16.950000000000003</v>
      </c>
      <c r="D139" s="12"/>
      <c r="E139" s="15" t="s">
        <v>8</v>
      </c>
      <c r="F139" s="18"/>
      <c r="G139" s="19"/>
      <c r="H139" s="12"/>
      <c r="I139" s="10"/>
    </row>
    <row r="140" spans="1:9" x14ac:dyDescent="0.2">
      <c r="A140" s="10">
        <v>19922</v>
      </c>
      <c r="B140" s="11">
        <v>42508</v>
      </c>
      <c r="C140" s="12">
        <v>24.51</v>
      </c>
      <c r="D140" s="12"/>
      <c r="E140" s="15" t="s">
        <v>16</v>
      </c>
      <c r="F140" s="21"/>
      <c r="G140" s="22"/>
      <c r="H140" s="10"/>
      <c r="I140" s="10"/>
    </row>
    <row r="141" spans="1:9" x14ac:dyDescent="0.2">
      <c r="A141" s="10">
        <v>19923</v>
      </c>
      <c r="B141" s="11">
        <v>42508</v>
      </c>
      <c r="C141" s="12">
        <v>179.39</v>
      </c>
      <c r="D141" s="12"/>
      <c r="E141" s="15" t="s">
        <v>16</v>
      </c>
      <c r="F141" s="21"/>
      <c r="G141" s="22"/>
      <c r="H141" s="10"/>
      <c r="I141" s="10"/>
    </row>
    <row r="142" spans="1:9" x14ac:dyDescent="0.2">
      <c r="A142" s="10">
        <v>19924</v>
      </c>
      <c r="B142" s="11">
        <v>42508</v>
      </c>
      <c r="C142" s="12">
        <v>12.09</v>
      </c>
      <c r="D142" s="12"/>
      <c r="E142" s="15" t="s">
        <v>16</v>
      </c>
      <c r="F142" s="20">
        <f>+C128+C130+C132+C127</f>
        <v>283.21000000000004</v>
      </c>
      <c r="G142" s="20">
        <v>279.45999999999998</v>
      </c>
      <c r="H142" s="10"/>
      <c r="I142" s="10"/>
    </row>
    <row r="143" spans="1:9" x14ac:dyDescent="0.2">
      <c r="A143" s="10">
        <v>19925</v>
      </c>
      <c r="B143" s="11">
        <v>42509</v>
      </c>
      <c r="C143" s="12">
        <v>234.9</v>
      </c>
      <c r="D143" s="12">
        <v>17.899999999999999</v>
      </c>
      <c r="E143" s="15" t="s">
        <v>21</v>
      </c>
      <c r="H143" s="10"/>
      <c r="I143" s="10"/>
    </row>
    <row r="144" spans="1:9" x14ac:dyDescent="0.2">
      <c r="A144" s="10">
        <v>19926</v>
      </c>
      <c r="B144" s="11">
        <v>42509</v>
      </c>
      <c r="C144" s="12">
        <v>0</v>
      </c>
      <c r="D144" s="12"/>
      <c r="E144" s="15" t="s">
        <v>8</v>
      </c>
      <c r="F144" s="21"/>
      <c r="G144" s="22"/>
      <c r="H144" s="10"/>
      <c r="I144" s="10"/>
    </row>
    <row r="145" spans="1:9" x14ac:dyDescent="0.2">
      <c r="A145" s="10">
        <v>19927</v>
      </c>
      <c r="B145" s="11">
        <v>42509</v>
      </c>
      <c r="C145" s="12">
        <v>97</v>
      </c>
      <c r="D145" s="12"/>
      <c r="E145" s="15" t="s">
        <v>660</v>
      </c>
      <c r="F145" s="21"/>
      <c r="G145" s="22"/>
      <c r="H145" s="10"/>
      <c r="I145" s="10"/>
    </row>
    <row r="146" spans="1:9" x14ac:dyDescent="0.2">
      <c r="A146" s="10">
        <v>19928</v>
      </c>
      <c r="B146" s="11">
        <v>42509</v>
      </c>
      <c r="C146" s="12">
        <v>25</v>
      </c>
      <c r="D146" s="12">
        <v>1.91</v>
      </c>
      <c r="E146" s="17"/>
      <c r="H146" s="12"/>
      <c r="I146" s="10"/>
    </row>
    <row r="147" spans="1:9" x14ac:dyDescent="0.2">
      <c r="A147" s="10">
        <v>19929</v>
      </c>
      <c r="B147" s="11">
        <v>42509</v>
      </c>
      <c r="C147" s="12">
        <v>24.16</v>
      </c>
      <c r="D147" s="12"/>
      <c r="E147" s="15" t="s">
        <v>368</v>
      </c>
      <c r="H147" s="10"/>
      <c r="I147" s="10"/>
    </row>
    <row r="148" spans="1:9" x14ac:dyDescent="0.2">
      <c r="A148" s="10">
        <v>19930</v>
      </c>
      <c r="B148" s="11">
        <v>42509</v>
      </c>
      <c r="C148" s="12">
        <v>112.58</v>
      </c>
      <c r="D148" s="12">
        <v>8.58</v>
      </c>
      <c r="E148" s="15" t="s">
        <v>661</v>
      </c>
      <c r="H148" s="10"/>
      <c r="I148" s="10"/>
    </row>
    <row r="149" spans="1:9" x14ac:dyDescent="0.2">
      <c r="A149" s="10">
        <v>19931</v>
      </c>
      <c r="B149" s="11">
        <v>42509</v>
      </c>
      <c r="C149" s="12">
        <v>85</v>
      </c>
      <c r="D149" s="12">
        <v>6.48</v>
      </c>
      <c r="E149" s="15"/>
      <c r="H149" s="10"/>
      <c r="I149" s="10"/>
    </row>
    <row r="150" spans="1:9" x14ac:dyDescent="0.2">
      <c r="A150" s="10">
        <v>19932</v>
      </c>
      <c r="B150" s="11">
        <v>42509</v>
      </c>
      <c r="C150" s="12">
        <v>98.94</v>
      </c>
      <c r="D150" s="12">
        <v>7.54</v>
      </c>
      <c r="E150" s="15" t="s">
        <v>662</v>
      </c>
      <c r="H150" s="10"/>
      <c r="I150" s="10"/>
    </row>
    <row r="151" spans="1:9" x14ac:dyDescent="0.2">
      <c r="A151" s="10">
        <v>19933</v>
      </c>
      <c r="B151" s="11">
        <v>42509</v>
      </c>
      <c r="C151" s="12">
        <v>8.5</v>
      </c>
      <c r="D151" s="12"/>
      <c r="E151" s="15" t="s">
        <v>25</v>
      </c>
      <c r="H151" s="10"/>
      <c r="I151" s="10"/>
    </row>
    <row r="152" spans="1:9" x14ac:dyDescent="0.2">
      <c r="A152" s="10">
        <v>19934</v>
      </c>
      <c r="B152" s="11">
        <v>42509</v>
      </c>
      <c r="C152" s="12">
        <v>248.98</v>
      </c>
      <c r="D152" s="12">
        <v>18.98</v>
      </c>
      <c r="E152" s="15"/>
      <c r="H152" s="10"/>
      <c r="I152" s="10"/>
    </row>
    <row r="153" spans="1:9" x14ac:dyDescent="0.2">
      <c r="A153" s="10">
        <v>19935</v>
      </c>
      <c r="B153" s="11">
        <v>42509</v>
      </c>
      <c r="C153" s="12">
        <v>9.69</v>
      </c>
      <c r="D153" s="12">
        <v>0.74</v>
      </c>
      <c r="E153" s="17"/>
      <c r="F153" s="20">
        <f>+C147</f>
        <v>24.16</v>
      </c>
      <c r="G153" s="20">
        <v>23.76</v>
      </c>
      <c r="H153" s="12"/>
      <c r="I153" s="10"/>
    </row>
    <row r="154" spans="1:9" x14ac:dyDescent="0.2">
      <c r="A154" s="10">
        <v>19936</v>
      </c>
      <c r="B154" s="11">
        <v>42510</v>
      </c>
      <c r="C154" s="12">
        <v>15</v>
      </c>
      <c r="D154" s="12">
        <v>1.1399999999999999</v>
      </c>
      <c r="E154" s="17"/>
      <c r="H154" s="12"/>
      <c r="I154" s="10"/>
    </row>
    <row r="155" spans="1:9" x14ac:dyDescent="0.2">
      <c r="A155" s="10">
        <v>19937</v>
      </c>
      <c r="B155" s="11">
        <v>42510</v>
      </c>
      <c r="C155" s="12">
        <v>447.72</v>
      </c>
      <c r="D155" s="12">
        <v>34.119999999999997</v>
      </c>
      <c r="E155" s="15" t="s">
        <v>663</v>
      </c>
      <c r="H155" s="10"/>
      <c r="I155" s="10"/>
    </row>
    <row r="156" spans="1:9" x14ac:dyDescent="0.2">
      <c r="A156" s="10">
        <v>19938</v>
      </c>
      <c r="B156" s="11">
        <v>42510</v>
      </c>
      <c r="C156" s="12">
        <v>444.47</v>
      </c>
      <c r="D156" s="12">
        <v>33.869999999999997</v>
      </c>
      <c r="E156" s="15" t="s">
        <v>664</v>
      </c>
      <c r="F156" s="21"/>
      <c r="G156" s="22"/>
      <c r="H156" s="10"/>
      <c r="I156" s="10"/>
    </row>
    <row r="157" spans="1:9" x14ac:dyDescent="0.2">
      <c r="A157" s="10">
        <v>19939</v>
      </c>
      <c r="B157" s="11">
        <v>42510</v>
      </c>
      <c r="C157" s="12">
        <v>532.59</v>
      </c>
      <c r="D157" s="12">
        <v>40.590000000000003</v>
      </c>
      <c r="E157" s="15" t="s">
        <v>665</v>
      </c>
      <c r="H157" s="10"/>
      <c r="I157" s="10"/>
    </row>
    <row r="158" spans="1:9" x14ac:dyDescent="0.2">
      <c r="A158" s="10">
        <v>19940</v>
      </c>
      <c r="B158" s="11">
        <v>42510</v>
      </c>
      <c r="C158" s="12">
        <v>73.61</v>
      </c>
      <c r="D158" s="12">
        <v>5.61</v>
      </c>
      <c r="E158" s="15" t="s">
        <v>11</v>
      </c>
      <c r="H158" s="10"/>
      <c r="I158" s="10"/>
    </row>
    <row r="159" spans="1:9" x14ac:dyDescent="0.2">
      <c r="A159" s="10">
        <v>19941</v>
      </c>
      <c r="B159" s="11">
        <v>42510</v>
      </c>
      <c r="C159" s="12">
        <v>15</v>
      </c>
      <c r="D159" s="12">
        <v>1.1399999999999999</v>
      </c>
      <c r="E159" s="17"/>
      <c r="H159" s="12"/>
      <c r="I159" s="10"/>
    </row>
    <row r="160" spans="1:9" x14ac:dyDescent="0.2">
      <c r="A160" s="10">
        <v>19942</v>
      </c>
      <c r="B160" s="11">
        <v>42510</v>
      </c>
      <c r="C160" s="12">
        <v>20</v>
      </c>
      <c r="D160" s="12">
        <v>1.52</v>
      </c>
      <c r="E160" s="15" t="s">
        <v>11</v>
      </c>
      <c r="F160" s="21"/>
      <c r="G160" s="22"/>
      <c r="H160" s="10"/>
      <c r="I160" s="10"/>
    </row>
    <row r="161" spans="1:9" x14ac:dyDescent="0.2">
      <c r="A161" s="10">
        <v>19943</v>
      </c>
      <c r="B161" s="11">
        <v>42510</v>
      </c>
      <c r="C161" s="12">
        <v>8.61</v>
      </c>
      <c r="D161" s="12">
        <v>0.66</v>
      </c>
      <c r="E161" s="17"/>
      <c r="H161" s="12"/>
      <c r="I161" s="10"/>
    </row>
    <row r="162" spans="1:9" x14ac:dyDescent="0.2">
      <c r="A162" s="10">
        <v>19944</v>
      </c>
      <c r="B162" s="11">
        <v>42510</v>
      </c>
      <c r="C162" s="12">
        <v>7.58</v>
      </c>
      <c r="D162" s="12">
        <v>0.57999999999999996</v>
      </c>
      <c r="E162" s="17"/>
      <c r="H162" s="12"/>
      <c r="I162" s="10"/>
    </row>
    <row r="163" spans="1:9" x14ac:dyDescent="0.2">
      <c r="A163" s="10">
        <v>19945</v>
      </c>
      <c r="B163" s="11">
        <v>42510</v>
      </c>
      <c r="C163" s="12">
        <v>16.239999999999998</v>
      </c>
      <c r="D163" s="12">
        <v>1.24</v>
      </c>
      <c r="E163" s="15" t="s">
        <v>11</v>
      </c>
      <c r="H163" s="10"/>
      <c r="I163" s="10"/>
    </row>
    <row r="164" spans="1:9" x14ac:dyDescent="0.2">
      <c r="A164" s="10">
        <v>19946</v>
      </c>
      <c r="B164" s="11">
        <v>42510</v>
      </c>
      <c r="C164" s="12">
        <v>22.54</v>
      </c>
      <c r="D164" s="12"/>
      <c r="E164" s="15" t="s">
        <v>368</v>
      </c>
      <c r="H164" s="10"/>
      <c r="I164" s="10"/>
    </row>
    <row r="165" spans="1:9" x14ac:dyDescent="0.2">
      <c r="A165" s="10">
        <v>19947</v>
      </c>
      <c r="B165" s="11">
        <v>42510</v>
      </c>
      <c r="C165" s="12">
        <v>314.2</v>
      </c>
      <c r="D165" s="12"/>
      <c r="E165" s="15" t="s">
        <v>11</v>
      </c>
      <c r="F165" s="21"/>
      <c r="G165" s="22"/>
      <c r="H165" s="10"/>
      <c r="I165" s="10"/>
    </row>
    <row r="166" spans="1:9" x14ac:dyDescent="0.2">
      <c r="A166" s="10">
        <v>19948</v>
      </c>
      <c r="B166" s="11">
        <v>42510</v>
      </c>
      <c r="C166" s="12">
        <v>414.6</v>
      </c>
      <c r="D166" s="12">
        <v>31.6</v>
      </c>
      <c r="E166" s="15" t="s">
        <v>666</v>
      </c>
    </row>
    <row r="167" spans="1:9" x14ac:dyDescent="0.2">
      <c r="A167" s="10">
        <v>19949</v>
      </c>
      <c r="B167" s="11">
        <v>42510</v>
      </c>
      <c r="C167" s="12">
        <v>355</v>
      </c>
      <c r="D167" s="12">
        <v>27.06</v>
      </c>
      <c r="E167" s="17"/>
      <c r="F167" s="20">
        <f>+C160+C163+C164+200+977.06</f>
        <v>1235.8399999999999</v>
      </c>
      <c r="G167" s="20">
        <f>256.42+950.19</f>
        <v>1206.6100000000001</v>
      </c>
      <c r="H167" s="114"/>
      <c r="I167" s="114"/>
    </row>
    <row r="168" spans="1:9" x14ac:dyDescent="0.2">
      <c r="A168" s="10">
        <v>19950</v>
      </c>
      <c r="B168" s="11">
        <v>42511</v>
      </c>
      <c r="C168" s="12">
        <v>110.96000000000001</v>
      </c>
      <c r="D168" s="12">
        <v>8.4600000000000009</v>
      </c>
      <c r="E168" s="17"/>
      <c r="H168" s="12"/>
      <c r="I168" s="114"/>
    </row>
    <row r="169" spans="1:9" x14ac:dyDescent="0.2">
      <c r="A169" s="10">
        <v>19951</v>
      </c>
      <c r="B169" s="11">
        <v>42511</v>
      </c>
      <c r="C169" s="12">
        <v>28.15</v>
      </c>
      <c r="D169" s="12">
        <v>2.15</v>
      </c>
      <c r="E169" s="17"/>
      <c r="H169" s="12"/>
      <c r="I169" s="114"/>
    </row>
    <row r="170" spans="1:9" x14ac:dyDescent="0.2">
      <c r="A170" s="10">
        <v>19952</v>
      </c>
      <c r="B170" s="11">
        <v>42511</v>
      </c>
      <c r="C170" s="12">
        <v>113.66</v>
      </c>
      <c r="D170" s="12">
        <v>8.66</v>
      </c>
      <c r="E170" s="17"/>
      <c r="H170" s="12"/>
      <c r="I170" s="114"/>
    </row>
    <row r="171" spans="1:9" x14ac:dyDescent="0.2">
      <c r="A171" s="10">
        <v>19953</v>
      </c>
      <c r="B171" s="11">
        <v>42511</v>
      </c>
      <c r="C171" s="12">
        <v>-8.5</v>
      </c>
      <c r="D171" s="12"/>
      <c r="E171" s="13" t="s">
        <v>253</v>
      </c>
      <c r="F171" s="18"/>
      <c r="G171" s="19"/>
      <c r="H171" s="12"/>
      <c r="I171" s="114"/>
    </row>
    <row r="172" spans="1:9" x14ac:dyDescent="0.2">
      <c r="A172" s="10">
        <v>19954</v>
      </c>
      <c r="B172" s="11">
        <v>42511</v>
      </c>
      <c r="C172" s="12">
        <v>176.6</v>
      </c>
      <c r="D172" s="12"/>
      <c r="E172" s="15" t="s">
        <v>25</v>
      </c>
      <c r="H172" s="10"/>
      <c r="I172" s="10"/>
    </row>
    <row r="173" spans="1:9" x14ac:dyDescent="0.2">
      <c r="A173" s="10">
        <v>19955</v>
      </c>
      <c r="B173" s="11">
        <v>42511</v>
      </c>
      <c r="C173" s="12">
        <v>245</v>
      </c>
      <c r="D173" s="12">
        <v>18.670000000000002</v>
      </c>
      <c r="E173" s="15"/>
      <c r="F173" s="21"/>
      <c r="G173" s="22"/>
      <c r="H173" s="10"/>
      <c r="I173" s="10"/>
    </row>
    <row r="174" spans="1:9" x14ac:dyDescent="0.2">
      <c r="A174" s="10">
        <v>19956</v>
      </c>
      <c r="B174" s="11">
        <v>42511</v>
      </c>
      <c r="C174" s="12">
        <v>188</v>
      </c>
      <c r="D174" s="12">
        <v>14.33</v>
      </c>
      <c r="E174" s="15"/>
      <c r="H174" s="10"/>
      <c r="I174" s="10"/>
    </row>
    <row r="175" spans="1:9" x14ac:dyDescent="0.2">
      <c r="A175" s="10">
        <v>19957</v>
      </c>
      <c r="B175" s="11">
        <v>42511</v>
      </c>
      <c r="C175" s="12">
        <v>30.31</v>
      </c>
      <c r="D175" s="12">
        <v>2.31</v>
      </c>
      <c r="E175" s="17"/>
      <c r="F175" s="18"/>
      <c r="G175" s="19"/>
      <c r="H175" s="12"/>
      <c r="I175" s="10"/>
    </row>
    <row r="176" spans="1:9" x14ac:dyDescent="0.2">
      <c r="A176" s="10">
        <v>19958</v>
      </c>
      <c r="B176" s="11">
        <v>42511</v>
      </c>
      <c r="C176" s="12">
        <v>10.83</v>
      </c>
      <c r="D176" s="12">
        <v>0.83</v>
      </c>
      <c r="E176" s="17"/>
      <c r="F176" s="20">
        <v>0</v>
      </c>
      <c r="G176" s="20">
        <f>+F176*0.97831</f>
        <v>0</v>
      </c>
      <c r="H176" s="12"/>
      <c r="I176" s="10"/>
    </row>
    <row r="177" spans="1:9" x14ac:dyDescent="0.2">
      <c r="A177" s="10">
        <v>19959</v>
      </c>
      <c r="B177" s="11">
        <v>42513</v>
      </c>
      <c r="C177" s="12">
        <v>173.2</v>
      </c>
      <c r="D177" s="12">
        <v>13.2</v>
      </c>
      <c r="E177" s="15" t="s">
        <v>13</v>
      </c>
      <c r="H177" s="10"/>
      <c r="I177" s="10"/>
    </row>
    <row r="178" spans="1:9" x14ac:dyDescent="0.2">
      <c r="A178" s="10">
        <v>19960</v>
      </c>
      <c r="B178" s="11">
        <v>42513</v>
      </c>
      <c r="C178" s="12">
        <v>224</v>
      </c>
      <c r="D178" s="12"/>
      <c r="E178" s="15" t="s">
        <v>660</v>
      </c>
      <c r="F178" s="21"/>
      <c r="G178" s="22"/>
      <c r="H178" s="10"/>
      <c r="I178" s="10"/>
    </row>
    <row r="179" spans="1:9" x14ac:dyDescent="0.2">
      <c r="A179" s="10">
        <v>19961</v>
      </c>
      <c r="B179" s="11">
        <v>42513</v>
      </c>
      <c r="C179" s="12">
        <v>-41.14</v>
      </c>
      <c r="D179" s="12">
        <v>-3.14</v>
      </c>
      <c r="E179" s="13"/>
      <c r="F179" s="18"/>
      <c r="G179" s="19"/>
      <c r="H179" s="12"/>
      <c r="I179" s="10"/>
    </row>
    <row r="180" spans="1:9" x14ac:dyDescent="0.2">
      <c r="A180" s="10">
        <v>19962</v>
      </c>
      <c r="B180" s="11">
        <v>42513</v>
      </c>
      <c r="C180" s="12">
        <v>160.21</v>
      </c>
      <c r="D180" s="12">
        <v>12.21</v>
      </c>
      <c r="E180" s="15"/>
      <c r="H180" s="10"/>
      <c r="I180" s="10"/>
    </row>
    <row r="181" spans="1:9" x14ac:dyDescent="0.2">
      <c r="A181" s="10">
        <v>19963</v>
      </c>
      <c r="B181" s="11">
        <v>42513</v>
      </c>
      <c r="C181" s="12">
        <v>27.06</v>
      </c>
      <c r="D181" s="12">
        <v>2.06</v>
      </c>
      <c r="E181" s="17"/>
      <c r="F181" s="18"/>
      <c r="G181" s="19"/>
      <c r="H181" s="12"/>
      <c r="I181" s="10"/>
    </row>
    <row r="182" spans="1:9" x14ac:dyDescent="0.2">
      <c r="A182" s="10">
        <v>19964</v>
      </c>
      <c r="B182" s="11">
        <v>42513</v>
      </c>
      <c r="C182" s="12">
        <v>236</v>
      </c>
      <c r="D182" s="12"/>
      <c r="E182" s="15" t="s">
        <v>667</v>
      </c>
      <c r="F182" s="20">
        <f>+C177+C165+C182+C158</f>
        <v>797.01</v>
      </c>
      <c r="G182" s="20">
        <v>780.4</v>
      </c>
      <c r="H182" s="10"/>
      <c r="I182" s="10"/>
    </row>
    <row r="183" spans="1:9" x14ac:dyDescent="0.2">
      <c r="A183" s="10">
        <v>19965</v>
      </c>
      <c r="B183" s="11">
        <v>42514</v>
      </c>
      <c r="C183" s="12">
        <v>168.87</v>
      </c>
      <c r="D183" s="12">
        <v>12.87</v>
      </c>
      <c r="E183" s="15" t="s">
        <v>11</v>
      </c>
      <c r="H183" s="10"/>
      <c r="I183" s="10"/>
    </row>
    <row r="184" spans="1:9" x14ac:dyDescent="0.2">
      <c r="A184" s="10">
        <v>19966</v>
      </c>
      <c r="B184" s="11">
        <v>42514</v>
      </c>
      <c r="C184" s="12">
        <v>207.3</v>
      </c>
      <c r="D184" s="12">
        <v>15.8</v>
      </c>
      <c r="E184" s="15" t="s">
        <v>668</v>
      </c>
      <c r="H184" s="10"/>
      <c r="I184" s="10"/>
    </row>
    <row r="185" spans="1:9" x14ac:dyDescent="0.2">
      <c r="A185" s="10">
        <v>19967</v>
      </c>
      <c r="B185" s="11">
        <v>42514</v>
      </c>
      <c r="C185" s="12">
        <v>274.41000000000003</v>
      </c>
      <c r="D185" s="12">
        <v>20.91</v>
      </c>
      <c r="E185" s="13" t="s">
        <v>669</v>
      </c>
      <c r="H185" s="12"/>
      <c r="I185" s="10"/>
    </row>
    <row r="186" spans="1:9" x14ac:dyDescent="0.2">
      <c r="A186" s="10">
        <v>19968</v>
      </c>
      <c r="B186" s="11">
        <v>42514</v>
      </c>
      <c r="C186" s="12">
        <v>74.69</v>
      </c>
      <c r="D186" s="12">
        <v>5.69</v>
      </c>
      <c r="E186" s="15" t="s">
        <v>21</v>
      </c>
      <c r="H186" s="10"/>
      <c r="I186" s="10"/>
    </row>
    <row r="187" spans="1:9" x14ac:dyDescent="0.2">
      <c r="A187" s="10">
        <v>19969</v>
      </c>
      <c r="B187" s="11">
        <v>42514</v>
      </c>
      <c r="C187" s="12">
        <v>12.94</v>
      </c>
      <c r="D187" s="12">
        <v>0.99</v>
      </c>
      <c r="E187" s="17"/>
      <c r="F187" s="18"/>
      <c r="G187" s="19"/>
      <c r="H187" s="12"/>
      <c r="I187" s="10"/>
    </row>
    <row r="188" spans="1:9" x14ac:dyDescent="0.2">
      <c r="A188" s="10">
        <v>19970</v>
      </c>
      <c r="B188" s="11">
        <v>42514</v>
      </c>
      <c r="C188" s="12">
        <v>291.19</v>
      </c>
      <c r="D188" s="12">
        <v>22.19</v>
      </c>
      <c r="E188" s="15"/>
      <c r="H188" s="10"/>
      <c r="I188" s="10"/>
    </row>
    <row r="189" spans="1:9" x14ac:dyDescent="0.2">
      <c r="A189" s="10">
        <v>19971</v>
      </c>
      <c r="B189" s="11">
        <v>42514</v>
      </c>
      <c r="C189" s="12">
        <v>80</v>
      </c>
      <c r="D189" s="12"/>
      <c r="E189" s="15" t="s">
        <v>16</v>
      </c>
      <c r="H189" s="10"/>
      <c r="I189" s="10"/>
    </row>
    <row r="190" spans="1:9" x14ac:dyDescent="0.2">
      <c r="A190" s="10">
        <v>19972</v>
      </c>
      <c r="B190" s="11">
        <v>42514</v>
      </c>
      <c r="C190" s="12">
        <v>40.89</v>
      </c>
      <c r="D190" s="12">
        <v>3.12</v>
      </c>
      <c r="E190" s="15" t="s">
        <v>670</v>
      </c>
      <c r="F190" s="20">
        <f>+C183+60</f>
        <v>228.87</v>
      </c>
      <c r="G190" s="20">
        <v>227.45</v>
      </c>
      <c r="H190" s="10"/>
      <c r="I190" s="10"/>
    </row>
    <row r="191" spans="1:9" x14ac:dyDescent="0.2">
      <c r="A191" s="10">
        <v>19973</v>
      </c>
      <c r="B191" s="11">
        <v>42515</v>
      </c>
      <c r="C191" s="12">
        <v>28.6</v>
      </c>
      <c r="D191" s="12"/>
      <c r="E191" s="15" t="s">
        <v>17</v>
      </c>
      <c r="F191" s="21"/>
      <c r="G191" s="22"/>
      <c r="H191" s="10"/>
      <c r="I191" s="10"/>
    </row>
    <row r="192" spans="1:9" x14ac:dyDescent="0.2">
      <c r="A192" s="10">
        <v>19974</v>
      </c>
      <c r="B192" s="11">
        <v>42515</v>
      </c>
      <c r="C192" s="12">
        <v>125</v>
      </c>
      <c r="D192" s="12"/>
      <c r="E192" s="15" t="s">
        <v>16</v>
      </c>
      <c r="H192" s="10"/>
      <c r="I192" s="10"/>
    </row>
    <row r="193" spans="1:9" x14ac:dyDescent="0.2">
      <c r="A193" s="10">
        <v>19975</v>
      </c>
      <c r="B193" s="11">
        <v>42515</v>
      </c>
      <c r="C193" s="12">
        <v>22.75</v>
      </c>
      <c r="D193" s="12"/>
      <c r="E193" s="15" t="s">
        <v>25</v>
      </c>
      <c r="F193" s="21"/>
      <c r="G193" s="22"/>
      <c r="H193" s="10"/>
      <c r="I193" s="10"/>
    </row>
    <row r="194" spans="1:9" x14ac:dyDescent="0.2">
      <c r="A194" s="10">
        <v>19976</v>
      </c>
      <c r="B194" s="11">
        <v>42515</v>
      </c>
      <c r="C194" s="12">
        <v>27.520000000000003</v>
      </c>
      <c r="D194" s="12"/>
      <c r="E194" s="15" t="s">
        <v>368</v>
      </c>
      <c r="F194" s="21"/>
      <c r="G194" s="22"/>
      <c r="H194" s="10"/>
      <c r="I194" s="10"/>
    </row>
    <row r="195" spans="1:9" x14ac:dyDescent="0.2">
      <c r="A195" s="10">
        <v>19977</v>
      </c>
      <c r="B195" s="11">
        <v>42515</v>
      </c>
      <c r="C195" s="12">
        <v>48.999999999999993</v>
      </c>
      <c r="D195" s="12">
        <v>3.73</v>
      </c>
      <c r="E195" s="15" t="s">
        <v>11</v>
      </c>
      <c r="H195" s="10"/>
      <c r="I195" s="10"/>
    </row>
    <row r="196" spans="1:9" x14ac:dyDescent="0.2">
      <c r="A196" s="10">
        <v>19978</v>
      </c>
      <c r="B196" s="11">
        <v>42515</v>
      </c>
      <c r="C196" s="12">
        <v>279.83</v>
      </c>
      <c r="D196" s="12">
        <v>21.33</v>
      </c>
      <c r="E196" s="15" t="s">
        <v>21</v>
      </c>
      <c r="H196" s="10"/>
      <c r="I196" s="10"/>
    </row>
    <row r="197" spans="1:9" x14ac:dyDescent="0.2">
      <c r="A197" s="10">
        <v>19979</v>
      </c>
      <c r="B197" s="11">
        <v>42515</v>
      </c>
      <c r="C197" s="12">
        <v>463.31</v>
      </c>
      <c r="D197" s="12">
        <v>35.31</v>
      </c>
      <c r="E197" s="15" t="s">
        <v>671</v>
      </c>
      <c r="H197" s="10"/>
      <c r="I197" s="10"/>
    </row>
    <row r="198" spans="1:9" x14ac:dyDescent="0.2">
      <c r="A198" s="10">
        <v>19980</v>
      </c>
      <c r="B198" s="11">
        <v>42515</v>
      </c>
      <c r="C198" s="12">
        <v>96.34</v>
      </c>
      <c r="D198" s="12">
        <v>7.34</v>
      </c>
      <c r="E198" s="17"/>
      <c r="F198" s="18"/>
      <c r="G198" s="19"/>
      <c r="H198" s="12"/>
      <c r="I198" s="10"/>
    </row>
    <row r="199" spans="1:9" x14ac:dyDescent="0.2">
      <c r="A199" s="10">
        <v>19981</v>
      </c>
      <c r="B199" s="11">
        <v>42515</v>
      </c>
      <c r="C199" s="12">
        <v>16.239999999999998</v>
      </c>
      <c r="D199" s="12">
        <v>1.24</v>
      </c>
      <c r="E199" s="17"/>
      <c r="F199" s="18"/>
      <c r="G199" s="19"/>
      <c r="H199" s="12"/>
      <c r="I199" s="10"/>
    </row>
    <row r="200" spans="1:9" x14ac:dyDescent="0.2">
      <c r="A200" s="10">
        <v>19982</v>
      </c>
      <c r="B200" s="11">
        <v>42515</v>
      </c>
      <c r="C200" s="12">
        <v>0</v>
      </c>
      <c r="D200" s="12">
        <v>0</v>
      </c>
      <c r="E200" s="15" t="s">
        <v>87</v>
      </c>
      <c r="H200" s="10"/>
      <c r="I200" s="10"/>
    </row>
    <row r="201" spans="1:9" x14ac:dyDescent="0.2">
      <c r="A201" s="10">
        <v>19983</v>
      </c>
      <c r="B201" s="11">
        <v>42515</v>
      </c>
      <c r="C201" s="12">
        <v>20.57</v>
      </c>
      <c r="D201" s="12">
        <v>1.57</v>
      </c>
      <c r="E201" s="15" t="s">
        <v>11</v>
      </c>
      <c r="F201" s="21"/>
      <c r="G201" s="22"/>
      <c r="H201" s="10"/>
      <c r="I201" s="10"/>
    </row>
    <row r="202" spans="1:9" x14ac:dyDescent="0.2">
      <c r="A202" s="10">
        <v>19984</v>
      </c>
      <c r="B202" s="11">
        <v>42515</v>
      </c>
      <c r="C202" s="12">
        <v>16.18</v>
      </c>
      <c r="D202" s="12">
        <v>1.23</v>
      </c>
      <c r="E202" s="17"/>
      <c r="H202" s="12"/>
      <c r="I202" s="10"/>
    </row>
    <row r="203" spans="1:9" x14ac:dyDescent="0.2">
      <c r="A203" s="10">
        <v>19985</v>
      </c>
      <c r="B203" s="11">
        <v>42515</v>
      </c>
      <c r="C203" s="12">
        <v>27.06</v>
      </c>
      <c r="D203" s="12">
        <v>2.06</v>
      </c>
      <c r="E203" s="15" t="s">
        <v>11</v>
      </c>
      <c r="F203" s="20">
        <f>+C194+C195+250+C201+338.2+C203</f>
        <v>712.34999999999991</v>
      </c>
      <c r="G203" s="20">
        <v>698.24</v>
      </c>
      <c r="H203" s="10"/>
      <c r="I203" s="10"/>
    </row>
    <row r="204" spans="1:9" x14ac:dyDescent="0.2">
      <c r="A204" s="10">
        <v>19986</v>
      </c>
      <c r="B204" s="11">
        <v>42516</v>
      </c>
      <c r="C204" s="12">
        <v>8</v>
      </c>
      <c r="D204" s="12">
        <v>0.61</v>
      </c>
      <c r="E204" s="17"/>
      <c r="H204" s="12"/>
      <c r="I204" s="10"/>
    </row>
    <row r="205" spans="1:9" x14ac:dyDescent="0.2">
      <c r="A205" s="10">
        <v>19987</v>
      </c>
      <c r="B205" s="11">
        <v>42516</v>
      </c>
      <c r="C205" s="12">
        <v>14.07</v>
      </c>
      <c r="D205" s="12">
        <v>1.07</v>
      </c>
      <c r="E205" s="15" t="s">
        <v>11</v>
      </c>
      <c r="H205" s="10"/>
      <c r="I205" s="10"/>
    </row>
    <row r="206" spans="1:9" x14ac:dyDescent="0.2">
      <c r="A206" s="10">
        <v>19988</v>
      </c>
      <c r="B206" s="11">
        <v>42516</v>
      </c>
      <c r="C206" s="12">
        <v>37</v>
      </c>
      <c r="D206" s="12"/>
      <c r="E206" s="15" t="s">
        <v>21</v>
      </c>
      <c r="H206" s="10"/>
      <c r="I206" s="10"/>
    </row>
    <row r="207" spans="1:9" x14ac:dyDescent="0.2">
      <c r="A207" s="10">
        <v>19989</v>
      </c>
      <c r="B207" s="11">
        <v>42516</v>
      </c>
      <c r="C207" s="12">
        <v>200.26</v>
      </c>
      <c r="D207" s="12">
        <v>15.26</v>
      </c>
      <c r="E207" s="17"/>
      <c r="H207" s="12"/>
      <c r="I207" s="10"/>
    </row>
    <row r="208" spans="1:9" x14ac:dyDescent="0.2">
      <c r="A208" s="10">
        <v>19990</v>
      </c>
      <c r="B208" s="11">
        <v>42516</v>
      </c>
      <c r="C208" s="12">
        <v>16.8</v>
      </c>
      <c r="D208" s="12"/>
      <c r="E208" s="15" t="s">
        <v>16</v>
      </c>
      <c r="F208" s="20">
        <f>+C205</f>
        <v>14.07</v>
      </c>
      <c r="G208" s="20">
        <v>13.7</v>
      </c>
      <c r="H208" s="10"/>
      <c r="I208" s="10"/>
    </row>
    <row r="209" spans="1:9" x14ac:dyDescent="0.2">
      <c r="A209" s="10">
        <v>19991</v>
      </c>
      <c r="B209" s="11">
        <v>42517</v>
      </c>
      <c r="C209" s="185">
        <v>267.48</v>
      </c>
      <c r="D209" s="12">
        <v>18.48</v>
      </c>
      <c r="E209" s="15" t="s">
        <v>672</v>
      </c>
      <c r="F209" s="21"/>
      <c r="G209" s="22"/>
      <c r="H209" s="10"/>
      <c r="I209" s="10"/>
    </row>
    <row r="210" spans="1:9" x14ac:dyDescent="0.2">
      <c r="A210" s="10">
        <v>19992</v>
      </c>
      <c r="B210" s="11">
        <v>42517</v>
      </c>
      <c r="C210" s="185">
        <v>225.7</v>
      </c>
      <c r="D210" s="12">
        <v>17.2</v>
      </c>
      <c r="E210" s="15" t="s">
        <v>11</v>
      </c>
      <c r="F210" s="21"/>
      <c r="G210" s="22"/>
      <c r="H210" s="10"/>
      <c r="I210" s="10"/>
    </row>
    <row r="211" spans="1:9" x14ac:dyDescent="0.2">
      <c r="A211" s="10">
        <v>19993</v>
      </c>
      <c r="B211" s="11">
        <v>42517</v>
      </c>
      <c r="C211" s="185">
        <v>135</v>
      </c>
      <c r="D211" s="12">
        <v>10.29</v>
      </c>
      <c r="E211" s="15"/>
      <c r="F211" s="21"/>
      <c r="G211" s="22"/>
      <c r="H211" s="10"/>
      <c r="I211" s="10"/>
    </row>
    <row r="212" spans="1:9" x14ac:dyDescent="0.2">
      <c r="A212" s="10">
        <v>19994</v>
      </c>
      <c r="B212" s="11">
        <v>42517</v>
      </c>
      <c r="C212" s="185">
        <v>10.8</v>
      </c>
      <c r="D212" s="12">
        <v>0.82</v>
      </c>
      <c r="E212" s="13"/>
      <c r="F212" s="18"/>
      <c r="G212" s="19"/>
      <c r="H212" s="12"/>
      <c r="I212" s="10"/>
    </row>
    <row r="213" spans="1:9" x14ac:dyDescent="0.2">
      <c r="A213" s="10">
        <v>19995</v>
      </c>
      <c r="B213" s="11">
        <v>42517</v>
      </c>
      <c r="C213" s="185">
        <v>141.81</v>
      </c>
      <c r="D213" s="12">
        <v>10.81</v>
      </c>
      <c r="E213" s="15" t="s">
        <v>21</v>
      </c>
      <c r="F213" s="21"/>
      <c r="G213" s="22"/>
      <c r="H213" s="10"/>
      <c r="I213" s="10"/>
    </row>
    <row r="214" spans="1:9" x14ac:dyDescent="0.2">
      <c r="A214" s="10">
        <v>19996</v>
      </c>
      <c r="B214" s="11">
        <v>42517</v>
      </c>
      <c r="C214" s="185">
        <v>6.5</v>
      </c>
      <c r="D214" s="12">
        <v>0.5</v>
      </c>
      <c r="E214" s="13"/>
      <c r="F214" s="18"/>
      <c r="G214" s="19"/>
      <c r="H214" s="12"/>
      <c r="I214" s="10"/>
    </row>
    <row r="215" spans="1:9" x14ac:dyDescent="0.2">
      <c r="A215" s="10">
        <v>19997</v>
      </c>
      <c r="B215" s="11">
        <v>42517</v>
      </c>
      <c r="C215" s="185">
        <v>28.04</v>
      </c>
      <c r="D215" s="12">
        <v>2.14</v>
      </c>
      <c r="E215" s="15" t="s">
        <v>11</v>
      </c>
      <c r="F215" s="21"/>
      <c r="G215" s="22"/>
      <c r="H215" s="10"/>
      <c r="I215" s="10"/>
    </row>
    <row r="216" spans="1:9" x14ac:dyDescent="0.2">
      <c r="A216" s="10">
        <v>19998</v>
      </c>
      <c r="B216" s="11">
        <v>42517</v>
      </c>
      <c r="C216" s="185">
        <v>41.14</v>
      </c>
      <c r="D216" s="12">
        <v>3.14</v>
      </c>
      <c r="E216" s="13"/>
      <c r="F216" s="18"/>
      <c r="G216" s="19"/>
      <c r="H216" s="12"/>
      <c r="I216" s="10"/>
    </row>
    <row r="217" spans="1:9" x14ac:dyDescent="0.2">
      <c r="A217" s="10">
        <v>19999</v>
      </c>
      <c r="B217" s="11">
        <v>42517</v>
      </c>
      <c r="C217" s="185">
        <v>192.14</v>
      </c>
      <c r="D217" s="12">
        <v>14.64</v>
      </c>
      <c r="E217" s="15" t="s">
        <v>11</v>
      </c>
      <c r="F217" s="21"/>
      <c r="G217" s="22"/>
      <c r="H217" s="10"/>
      <c r="I217" s="10"/>
    </row>
    <row r="218" spans="1:9" x14ac:dyDescent="0.2">
      <c r="A218" s="10">
        <v>20000</v>
      </c>
      <c r="B218" s="11">
        <v>42517</v>
      </c>
      <c r="C218" s="185">
        <v>8.66</v>
      </c>
      <c r="D218" s="12">
        <v>0.66</v>
      </c>
      <c r="E218" s="15" t="s">
        <v>11</v>
      </c>
      <c r="H218" s="10"/>
      <c r="I218" s="10"/>
    </row>
    <row r="219" spans="1:9" x14ac:dyDescent="0.2">
      <c r="A219" s="10">
        <v>20001</v>
      </c>
      <c r="B219" s="11">
        <v>42517</v>
      </c>
      <c r="C219" s="185">
        <v>134.22999999999999</v>
      </c>
      <c r="D219" s="12">
        <v>10.23</v>
      </c>
      <c r="E219" s="13"/>
      <c r="H219" s="12"/>
      <c r="I219" s="10"/>
    </row>
    <row r="220" spans="1:9" x14ac:dyDescent="0.2">
      <c r="A220" s="10">
        <v>20002</v>
      </c>
      <c r="B220" s="11">
        <v>42517</v>
      </c>
      <c r="C220" s="185">
        <v>111</v>
      </c>
      <c r="D220" s="12">
        <v>8.4600000000000009</v>
      </c>
      <c r="E220" s="23"/>
      <c r="F220" s="21"/>
      <c r="G220" s="22"/>
      <c r="H220" s="10"/>
      <c r="I220" s="10"/>
    </row>
    <row r="221" spans="1:9" x14ac:dyDescent="0.2">
      <c r="A221" s="10">
        <v>20003</v>
      </c>
      <c r="B221" s="11">
        <v>42517</v>
      </c>
      <c r="C221" s="185">
        <v>115</v>
      </c>
      <c r="D221" s="12">
        <v>8.76</v>
      </c>
      <c r="E221" s="17"/>
      <c r="F221" s="18"/>
      <c r="G221" s="19"/>
      <c r="H221" s="12"/>
      <c r="I221" s="10"/>
    </row>
    <row r="222" spans="1:9" x14ac:dyDescent="0.2">
      <c r="A222" s="10">
        <v>20004</v>
      </c>
      <c r="B222" s="11">
        <v>42517</v>
      </c>
      <c r="C222" s="185">
        <v>153.72</v>
      </c>
      <c r="D222" s="12">
        <v>11.72</v>
      </c>
      <c r="E222" s="15" t="s">
        <v>11</v>
      </c>
      <c r="H222" s="10"/>
      <c r="I222" s="10"/>
    </row>
    <row r="223" spans="1:9" x14ac:dyDescent="0.2">
      <c r="A223" s="10">
        <v>20005</v>
      </c>
      <c r="B223" s="11">
        <v>42517</v>
      </c>
      <c r="C223" s="185">
        <v>58</v>
      </c>
      <c r="D223" s="12"/>
      <c r="E223" s="15" t="s">
        <v>673</v>
      </c>
      <c r="H223" s="10"/>
      <c r="I223" s="10"/>
    </row>
    <row r="224" spans="1:9" x14ac:dyDescent="0.2">
      <c r="A224" s="10">
        <v>20006</v>
      </c>
      <c r="B224" s="11">
        <v>42517</v>
      </c>
      <c r="C224" s="185">
        <v>122.86</v>
      </c>
      <c r="D224" s="12">
        <v>9.36</v>
      </c>
      <c r="E224" s="15" t="s">
        <v>7</v>
      </c>
      <c r="H224" s="10"/>
      <c r="I224" s="10"/>
    </row>
    <row r="225" spans="1:10" x14ac:dyDescent="0.2">
      <c r="A225" s="10">
        <v>20007</v>
      </c>
      <c r="B225" s="11">
        <v>42517</v>
      </c>
      <c r="C225" s="185">
        <v>42.870000000000005</v>
      </c>
      <c r="D225" s="12">
        <v>3.27</v>
      </c>
      <c r="E225" s="15" t="s">
        <v>11</v>
      </c>
      <c r="F225" s="20">
        <f>+C210+C215+C217+C218+C222+C223+C224+214.59+C225</f>
        <v>1046.58</v>
      </c>
      <c r="G225" s="20">
        <v>1034.5</v>
      </c>
      <c r="H225" s="10"/>
      <c r="I225" s="10"/>
    </row>
    <row r="226" spans="1:10" x14ac:dyDescent="0.2">
      <c r="A226" s="10">
        <v>20008</v>
      </c>
      <c r="B226" s="11">
        <v>42518</v>
      </c>
      <c r="C226" s="185">
        <v>20</v>
      </c>
      <c r="D226" s="12">
        <v>1.52</v>
      </c>
      <c r="E226" s="17"/>
      <c r="H226" s="12"/>
      <c r="I226" s="10"/>
    </row>
    <row r="227" spans="1:10" x14ac:dyDescent="0.2">
      <c r="A227" s="10">
        <v>20009</v>
      </c>
      <c r="B227" s="11">
        <v>42518</v>
      </c>
      <c r="C227" s="185">
        <v>96.34</v>
      </c>
      <c r="D227" s="12">
        <v>7.34</v>
      </c>
      <c r="E227" s="17"/>
      <c r="F227" s="18"/>
      <c r="G227" s="19"/>
      <c r="H227" s="12"/>
      <c r="I227" s="10"/>
    </row>
    <row r="228" spans="1:10" x14ac:dyDescent="0.2">
      <c r="A228" s="10">
        <v>20010</v>
      </c>
      <c r="B228" s="11">
        <v>42518</v>
      </c>
      <c r="C228" s="185">
        <v>14</v>
      </c>
      <c r="D228" s="12">
        <v>1.07</v>
      </c>
      <c r="E228" s="15" t="s">
        <v>87</v>
      </c>
      <c r="H228" s="10"/>
      <c r="I228" s="10"/>
    </row>
    <row r="229" spans="1:10" x14ac:dyDescent="0.2">
      <c r="A229" s="10">
        <v>20011</v>
      </c>
      <c r="B229" s="11">
        <v>42518</v>
      </c>
      <c r="C229" s="12">
        <v>10</v>
      </c>
      <c r="D229" s="12"/>
      <c r="E229" s="13" t="s">
        <v>674</v>
      </c>
      <c r="F229" s="12"/>
      <c r="G229" s="12"/>
      <c r="H229" s="191"/>
      <c r="I229" s="184"/>
      <c r="J229" s="184"/>
    </row>
    <row r="230" spans="1:10" x14ac:dyDescent="0.2">
      <c r="A230" s="10">
        <v>20012</v>
      </c>
      <c r="B230" s="11">
        <v>42518</v>
      </c>
      <c r="C230" s="12">
        <v>10</v>
      </c>
      <c r="D230" s="12">
        <v>0.76</v>
      </c>
      <c r="E230" s="15" t="s">
        <v>675</v>
      </c>
      <c r="H230" s="188"/>
      <c r="I230" s="188"/>
      <c r="J230" s="184"/>
    </row>
    <row r="231" spans="1:10" x14ac:dyDescent="0.2">
      <c r="A231" s="10">
        <v>20013</v>
      </c>
      <c r="B231" s="11">
        <v>42518</v>
      </c>
      <c r="C231" s="12">
        <v>266</v>
      </c>
      <c r="D231" s="12"/>
      <c r="E231" s="17"/>
      <c r="F231" s="18"/>
      <c r="G231" s="19"/>
      <c r="H231" s="191"/>
      <c r="I231" s="188"/>
      <c r="J231" s="184"/>
    </row>
    <row r="232" spans="1:10" x14ac:dyDescent="0.2">
      <c r="A232" s="10">
        <v>20014</v>
      </c>
      <c r="B232" s="11">
        <v>42518</v>
      </c>
      <c r="C232" s="12">
        <v>84.44</v>
      </c>
      <c r="D232" s="12">
        <v>6.44</v>
      </c>
      <c r="E232" s="15" t="s">
        <v>11</v>
      </c>
      <c r="F232" s="21"/>
      <c r="G232" s="22"/>
      <c r="H232" s="188"/>
      <c r="I232" s="188"/>
      <c r="J232" s="184"/>
    </row>
    <row r="233" spans="1:10" x14ac:dyDescent="0.2">
      <c r="A233" s="10">
        <v>20015</v>
      </c>
      <c r="B233" s="11">
        <v>42518</v>
      </c>
      <c r="C233" s="12">
        <v>72.53</v>
      </c>
      <c r="D233" s="12">
        <v>5.53</v>
      </c>
      <c r="E233" s="13"/>
      <c r="F233" s="18"/>
      <c r="G233" s="19"/>
      <c r="H233" s="191"/>
      <c r="I233" s="188"/>
      <c r="J233" s="184"/>
    </row>
    <row r="234" spans="1:10" x14ac:dyDescent="0.2">
      <c r="A234" s="10">
        <v>20016</v>
      </c>
      <c r="B234" s="11">
        <v>42518</v>
      </c>
      <c r="C234" s="12">
        <v>156.96</v>
      </c>
      <c r="D234" s="12">
        <v>11.96</v>
      </c>
      <c r="E234" s="13" t="s">
        <v>676</v>
      </c>
      <c r="F234" s="18"/>
      <c r="G234" s="19"/>
      <c r="H234" s="191"/>
      <c r="I234" s="188"/>
      <c r="J234" s="184"/>
    </row>
    <row r="235" spans="1:10" x14ac:dyDescent="0.2">
      <c r="A235" s="10">
        <v>20022</v>
      </c>
      <c r="B235" s="11">
        <v>42518</v>
      </c>
      <c r="C235" s="12">
        <v>90.93</v>
      </c>
      <c r="D235" s="12">
        <v>6.93</v>
      </c>
      <c r="E235" s="15" t="s">
        <v>7</v>
      </c>
      <c r="F235" s="21"/>
      <c r="G235" s="22"/>
      <c r="H235" s="188"/>
      <c r="I235" s="188"/>
      <c r="J235" s="184"/>
    </row>
    <row r="236" spans="1:10" x14ac:dyDescent="0.2">
      <c r="A236" s="10">
        <v>20017</v>
      </c>
      <c r="B236" s="11">
        <v>42518</v>
      </c>
      <c r="C236" s="12">
        <v>25.98</v>
      </c>
      <c r="D236" s="12">
        <v>1.98</v>
      </c>
      <c r="E236" s="13"/>
      <c r="F236" s="18"/>
      <c r="G236" s="18"/>
      <c r="H236" s="191"/>
      <c r="I236" s="197">
        <f ca="1">H1-WEEKDAY(H1,3)-7</f>
        <v>43171</v>
      </c>
      <c r="J236" s="198" t="e">
        <f t="shared" ref="J236:J268" ca="1" si="0">SUMIF(INDIRECT(TEXT(I236,"'mmm-yy'")&amp;"!B3:B400"),I236,INDIRECT(TEXT(I236,"'mmm-yy'")&amp;"!C3:C400"))</f>
        <v>#REF!</v>
      </c>
    </row>
    <row r="237" spans="1:10" x14ac:dyDescent="0.2">
      <c r="A237" s="10">
        <v>20018</v>
      </c>
      <c r="B237" s="11">
        <v>42518</v>
      </c>
      <c r="C237" s="12">
        <v>279.83</v>
      </c>
      <c r="D237" s="12">
        <v>21.33</v>
      </c>
      <c r="E237" s="15" t="s">
        <v>677</v>
      </c>
      <c r="F237" s="10"/>
      <c r="G237" s="10"/>
      <c r="H237" s="188"/>
      <c r="I237" s="188"/>
      <c r="J237" s="198"/>
    </row>
    <row r="238" spans="1:10" x14ac:dyDescent="0.2">
      <c r="A238" s="10">
        <v>20019</v>
      </c>
      <c r="B238" s="11">
        <v>42518</v>
      </c>
      <c r="C238" s="12">
        <v>398.36</v>
      </c>
      <c r="D238" s="12">
        <v>30.36</v>
      </c>
      <c r="E238" s="15" t="s">
        <v>11</v>
      </c>
      <c r="F238" s="10"/>
      <c r="G238" s="10"/>
      <c r="H238" s="188"/>
      <c r="I238" s="188"/>
      <c r="J238" s="198"/>
    </row>
    <row r="239" spans="1:10" x14ac:dyDescent="0.2">
      <c r="A239" s="10">
        <v>20020</v>
      </c>
      <c r="B239" s="11">
        <v>42518</v>
      </c>
      <c r="C239" s="12">
        <v>44.38</v>
      </c>
      <c r="D239" s="12">
        <v>3.38</v>
      </c>
      <c r="E239" s="15" t="s">
        <v>11</v>
      </c>
      <c r="F239" s="10"/>
      <c r="G239" s="10"/>
      <c r="H239" s="188"/>
      <c r="I239" s="188"/>
      <c r="J239" s="198"/>
    </row>
    <row r="240" spans="1:10" x14ac:dyDescent="0.2">
      <c r="A240" s="10">
        <v>20021</v>
      </c>
      <c r="B240" s="11">
        <v>42518</v>
      </c>
      <c r="C240" s="12">
        <v>4</v>
      </c>
      <c r="D240" s="12">
        <v>0.3</v>
      </c>
      <c r="E240" s="17"/>
      <c r="H240" s="191"/>
      <c r="I240" s="188"/>
      <c r="J240" s="198"/>
    </row>
    <row r="241" spans="1:10" x14ac:dyDescent="0.2">
      <c r="A241" s="10">
        <v>20023</v>
      </c>
      <c r="B241" s="11">
        <v>42518</v>
      </c>
      <c r="C241" s="12">
        <v>10.5</v>
      </c>
      <c r="D241" s="12"/>
      <c r="E241" s="15" t="s">
        <v>678</v>
      </c>
      <c r="F241" s="20">
        <f>+C232+C235+150+C238+C239+C241</f>
        <v>778.61</v>
      </c>
      <c r="G241" s="20">
        <v>763.58</v>
      </c>
      <c r="H241" s="188"/>
      <c r="I241" s="188"/>
      <c r="J241" s="198"/>
    </row>
    <row r="242" spans="1:10" x14ac:dyDescent="0.2">
      <c r="A242" s="10">
        <v>20024</v>
      </c>
      <c r="B242" s="11">
        <v>42520</v>
      </c>
      <c r="C242" s="12">
        <v>10.8</v>
      </c>
      <c r="D242" s="12">
        <v>0.82</v>
      </c>
      <c r="E242" s="15" t="s">
        <v>11</v>
      </c>
      <c r="F242" s="21"/>
      <c r="G242" s="22"/>
      <c r="H242" s="188"/>
      <c r="I242" s="188"/>
      <c r="J242" s="198"/>
    </row>
    <row r="243" spans="1:10" x14ac:dyDescent="0.2">
      <c r="A243" s="10">
        <v>20025</v>
      </c>
      <c r="B243" s="11">
        <v>42520</v>
      </c>
      <c r="C243" s="12">
        <v>170</v>
      </c>
      <c r="D243" s="12"/>
      <c r="E243" s="13"/>
      <c r="F243" s="18"/>
      <c r="G243" s="19"/>
      <c r="H243" s="191"/>
      <c r="I243" s="188"/>
      <c r="J243" s="198"/>
    </row>
    <row r="244" spans="1:10" x14ac:dyDescent="0.2">
      <c r="A244" s="10">
        <v>20026</v>
      </c>
      <c r="B244" s="11">
        <v>42520</v>
      </c>
      <c r="C244" s="12">
        <v>15</v>
      </c>
      <c r="D244" s="12"/>
      <c r="E244" s="13"/>
      <c r="F244" s="18"/>
      <c r="G244" s="19"/>
      <c r="H244" s="191"/>
      <c r="I244" s="188"/>
      <c r="J244" s="198"/>
    </row>
    <row r="245" spans="1:10" x14ac:dyDescent="0.2">
      <c r="A245" s="10">
        <v>20027</v>
      </c>
      <c r="B245" s="11">
        <v>42520</v>
      </c>
      <c r="C245" s="12">
        <v>39.78</v>
      </c>
      <c r="D245" s="12">
        <v>3.03</v>
      </c>
      <c r="E245" s="13"/>
      <c r="F245" s="18"/>
      <c r="G245" s="19"/>
      <c r="H245" s="191"/>
      <c r="I245" s="188"/>
      <c r="J245" s="198"/>
    </row>
    <row r="246" spans="1:10" x14ac:dyDescent="0.2">
      <c r="A246" s="10">
        <v>20028</v>
      </c>
      <c r="B246" s="11">
        <v>42520</v>
      </c>
      <c r="C246" s="12">
        <v>286.86</v>
      </c>
      <c r="D246" s="12">
        <v>21.86</v>
      </c>
      <c r="E246" s="15" t="s">
        <v>11</v>
      </c>
      <c r="F246" s="21"/>
      <c r="G246" s="22"/>
      <c r="H246" s="188"/>
      <c r="I246" s="188"/>
      <c r="J246" s="198"/>
    </row>
    <row r="247" spans="1:10" x14ac:dyDescent="0.2">
      <c r="A247" s="10">
        <v>20029</v>
      </c>
      <c r="B247" s="11">
        <v>42520</v>
      </c>
      <c r="C247" s="12">
        <v>97.43</v>
      </c>
      <c r="D247" s="12">
        <v>7.43</v>
      </c>
      <c r="E247" s="15" t="s">
        <v>21</v>
      </c>
      <c r="F247" s="21"/>
      <c r="G247" s="22"/>
      <c r="H247" s="188"/>
      <c r="I247" s="188"/>
      <c r="J247" s="198"/>
    </row>
    <row r="248" spans="1:10" x14ac:dyDescent="0.2">
      <c r="A248" s="10">
        <v>20030</v>
      </c>
      <c r="B248" s="11">
        <v>42520</v>
      </c>
      <c r="C248" s="12">
        <v>98.45</v>
      </c>
      <c r="D248" s="12">
        <v>7.5</v>
      </c>
      <c r="E248" s="15" t="s">
        <v>7</v>
      </c>
      <c r="H248" s="188"/>
      <c r="I248" s="188"/>
      <c r="J248" s="198"/>
    </row>
    <row r="249" spans="1:10" x14ac:dyDescent="0.2">
      <c r="A249" s="10">
        <v>20031</v>
      </c>
      <c r="B249" s="11">
        <v>42520</v>
      </c>
      <c r="C249" s="12">
        <v>10.83</v>
      </c>
      <c r="D249" s="12">
        <v>0.83</v>
      </c>
      <c r="E249" s="17"/>
      <c r="H249" s="191"/>
      <c r="I249" s="188"/>
      <c r="J249" s="198"/>
    </row>
    <row r="250" spans="1:10" x14ac:dyDescent="0.2">
      <c r="A250" s="10">
        <v>20032</v>
      </c>
      <c r="B250" s="11">
        <v>42520</v>
      </c>
      <c r="C250" s="12">
        <v>200.26</v>
      </c>
      <c r="D250" s="12">
        <v>15.26</v>
      </c>
      <c r="E250" s="15" t="s">
        <v>26</v>
      </c>
      <c r="H250" s="188"/>
      <c r="I250" s="188"/>
      <c r="J250" s="198"/>
    </row>
    <row r="251" spans="1:10" x14ac:dyDescent="0.2">
      <c r="A251" s="10">
        <v>20033</v>
      </c>
      <c r="B251" s="11">
        <v>42520</v>
      </c>
      <c r="C251" s="12">
        <v>121</v>
      </c>
      <c r="D251" s="12"/>
      <c r="E251" s="15" t="s">
        <v>642</v>
      </c>
      <c r="F251" s="20">
        <f>+C242+C246+C248</f>
        <v>396.11</v>
      </c>
      <c r="G251" s="20">
        <v>392.27</v>
      </c>
      <c r="H251" s="188"/>
      <c r="I251" s="188"/>
      <c r="J251" s="198"/>
    </row>
    <row r="252" spans="1:10" x14ac:dyDescent="0.2">
      <c r="A252" s="10">
        <v>20034</v>
      </c>
      <c r="B252" s="11">
        <v>42521</v>
      </c>
      <c r="C252" s="12">
        <v>64.95</v>
      </c>
      <c r="D252" s="12">
        <v>4.95</v>
      </c>
      <c r="E252" s="15" t="s">
        <v>7</v>
      </c>
      <c r="F252" s="21"/>
      <c r="G252" s="22"/>
      <c r="H252" s="188"/>
      <c r="I252" s="188"/>
      <c r="J252" s="198"/>
    </row>
    <row r="253" spans="1:10" x14ac:dyDescent="0.2">
      <c r="A253" s="10">
        <v>20035</v>
      </c>
      <c r="B253" s="11">
        <v>42521</v>
      </c>
      <c r="C253" s="12">
        <v>80</v>
      </c>
      <c r="D253" s="12">
        <v>6.1</v>
      </c>
      <c r="E253" s="15"/>
      <c r="F253" s="21"/>
      <c r="G253" s="22"/>
      <c r="H253" s="188"/>
      <c r="I253" s="188"/>
      <c r="J253" s="198"/>
    </row>
    <row r="254" spans="1:10" x14ac:dyDescent="0.2">
      <c r="A254" s="10">
        <v>20036</v>
      </c>
      <c r="B254" s="11">
        <v>42521</v>
      </c>
      <c r="C254" s="12">
        <v>11</v>
      </c>
      <c r="D254" s="12">
        <v>0.84</v>
      </c>
      <c r="E254" s="13"/>
      <c r="F254" s="18"/>
      <c r="G254" s="19"/>
      <c r="H254" s="191"/>
      <c r="I254" s="188"/>
      <c r="J254" s="198"/>
    </row>
    <row r="255" spans="1:10" x14ac:dyDescent="0.2">
      <c r="A255" s="10">
        <v>20037</v>
      </c>
      <c r="B255" s="11">
        <v>42521</v>
      </c>
      <c r="C255" s="12">
        <v>22.619999999999997</v>
      </c>
      <c r="D255" s="12">
        <v>1.72</v>
      </c>
      <c r="E255" s="15" t="s">
        <v>11</v>
      </c>
      <c r="F255" s="20">
        <f>+C252+C255</f>
        <v>87.57</v>
      </c>
      <c r="G255" s="20">
        <v>85.66</v>
      </c>
      <c r="H255" s="188"/>
      <c r="I255" s="188"/>
      <c r="J255" s="198"/>
    </row>
    <row r="256" spans="1:10" x14ac:dyDescent="0.2">
      <c r="E256" s="26"/>
      <c r="H256" s="191"/>
      <c r="I256" s="197">
        <f ca="1">I236+1</f>
        <v>43172</v>
      </c>
      <c r="J256" s="198" t="e">
        <f t="shared" ca="1" si="0"/>
        <v>#REF!</v>
      </c>
    </row>
    <row r="257" spans="5:10" x14ac:dyDescent="0.2">
      <c r="E257" s="26"/>
      <c r="H257" s="191"/>
      <c r="I257" s="197">
        <f t="shared" ref="I257:I268" ca="1" si="1">I256+1</f>
        <v>43173</v>
      </c>
      <c r="J257" s="198" t="e">
        <f t="shared" ca="1" si="0"/>
        <v>#REF!</v>
      </c>
    </row>
    <row r="258" spans="5:10" x14ac:dyDescent="0.2">
      <c r="E258" s="26"/>
      <c r="H258" s="188"/>
      <c r="I258" s="197">
        <f t="shared" ca="1" si="1"/>
        <v>43174</v>
      </c>
      <c r="J258" s="198" t="e">
        <f t="shared" ca="1" si="0"/>
        <v>#REF!</v>
      </c>
    </row>
    <row r="259" spans="5:10" x14ac:dyDescent="0.2">
      <c r="E259" s="26"/>
      <c r="H259" s="188"/>
      <c r="I259" s="197">
        <f t="shared" ca="1" si="1"/>
        <v>43175</v>
      </c>
      <c r="J259" s="198" t="e">
        <f t="shared" ca="1" si="0"/>
        <v>#REF!</v>
      </c>
    </row>
    <row r="260" spans="5:10" x14ac:dyDescent="0.2">
      <c r="E260" s="26"/>
      <c r="H260" s="191"/>
      <c r="I260" s="197">
        <f t="shared" ca="1" si="1"/>
        <v>43176</v>
      </c>
      <c r="J260" s="198" t="e">
        <f t="shared" ca="1" si="0"/>
        <v>#REF!</v>
      </c>
    </row>
    <row r="261" spans="5:10" x14ac:dyDescent="0.2">
      <c r="E261" s="26"/>
      <c r="H261" s="191"/>
      <c r="I261" s="197">
        <f t="shared" ca="1" si="1"/>
        <v>43177</v>
      </c>
      <c r="J261" s="198" t="e">
        <f t="shared" ca="1" si="0"/>
        <v>#REF!</v>
      </c>
    </row>
    <row r="262" spans="5:10" x14ac:dyDescent="0.2">
      <c r="E262" s="26"/>
      <c r="H262" s="188"/>
      <c r="I262" s="197">
        <f t="shared" ca="1" si="1"/>
        <v>43178</v>
      </c>
      <c r="J262" s="198" t="e">
        <f t="shared" ca="1" si="0"/>
        <v>#REF!</v>
      </c>
    </row>
    <row r="263" spans="5:10" x14ac:dyDescent="0.2">
      <c r="E263" s="26"/>
      <c r="H263" s="191"/>
      <c r="I263" s="197">
        <f t="shared" ca="1" si="1"/>
        <v>43179</v>
      </c>
      <c r="J263" s="198" t="e">
        <f t="shared" ca="1" si="0"/>
        <v>#REF!</v>
      </c>
    </row>
    <row r="264" spans="5:10" x14ac:dyDescent="0.2">
      <c r="E264" s="26"/>
      <c r="H264" s="191"/>
      <c r="I264" s="197">
        <f t="shared" ca="1" si="1"/>
        <v>43180</v>
      </c>
      <c r="J264" s="198" t="e">
        <f t="shared" ca="1" si="0"/>
        <v>#REF!</v>
      </c>
    </row>
    <row r="265" spans="5:10" x14ac:dyDescent="0.2">
      <c r="E265" s="26"/>
      <c r="H265" s="191"/>
      <c r="I265" s="197">
        <f t="shared" ca="1" si="1"/>
        <v>43181</v>
      </c>
      <c r="J265" s="198" t="e">
        <f t="shared" ca="1" si="0"/>
        <v>#REF!</v>
      </c>
    </row>
    <row r="266" spans="5:10" x14ac:dyDescent="0.2">
      <c r="E266" s="26"/>
      <c r="H266" s="191"/>
      <c r="I266" s="197">
        <f t="shared" ca="1" si="1"/>
        <v>43182</v>
      </c>
      <c r="J266" s="198" t="e">
        <f t="shared" ca="1" si="0"/>
        <v>#REF!</v>
      </c>
    </row>
    <row r="267" spans="5:10" x14ac:dyDescent="0.2">
      <c r="E267" s="26"/>
      <c r="H267" s="191"/>
      <c r="I267" s="197">
        <f t="shared" ca="1" si="1"/>
        <v>43183</v>
      </c>
      <c r="J267" s="198" t="e">
        <f t="shared" ca="1" si="0"/>
        <v>#REF!</v>
      </c>
    </row>
    <row r="268" spans="5:10" x14ac:dyDescent="0.2">
      <c r="E268" s="26"/>
      <c r="H268" s="191"/>
      <c r="I268" s="197">
        <f t="shared" ca="1" si="1"/>
        <v>43184</v>
      </c>
      <c r="J268" s="198" t="e">
        <f t="shared" ca="1" si="0"/>
        <v>#REF!</v>
      </c>
    </row>
    <row r="269" spans="5:10" x14ac:dyDescent="0.2">
      <c r="E269" s="26"/>
      <c r="H269" s="199"/>
      <c r="I269" s="184"/>
      <c r="J269" s="184"/>
    </row>
    <row r="270" spans="5:10" x14ac:dyDescent="0.2">
      <c r="E270" s="26"/>
      <c r="H270" s="199"/>
      <c r="I270" s="184"/>
      <c r="J270" s="184"/>
    </row>
    <row r="271" spans="5:10" x14ac:dyDescent="0.2">
      <c r="E271" s="26"/>
      <c r="H271" s="199"/>
      <c r="I271" s="184"/>
      <c r="J271" s="184"/>
    </row>
    <row r="272" spans="5:10" x14ac:dyDescent="0.2">
      <c r="E272" s="26"/>
      <c r="H272" s="199"/>
      <c r="I272" s="184"/>
      <c r="J272" s="184"/>
    </row>
    <row r="273" spans="5:5" x14ac:dyDescent="0.2">
      <c r="E273" s="26"/>
    </row>
    <row r="274" spans="5:5" x14ac:dyDescent="0.2">
      <c r="E274" s="26"/>
    </row>
    <row r="275" spans="5:5" x14ac:dyDescent="0.2">
      <c r="E275" s="26"/>
    </row>
    <row r="276" spans="5:5" x14ac:dyDescent="0.2">
      <c r="E276" s="26"/>
    </row>
    <row r="277" spans="5:5" x14ac:dyDescent="0.2">
      <c r="E277" s="26"/>
    </row>
    <row r="278" spans="5:5" x14ac:dyDescent="0.2">
      <c r="E278" s="26"/>
    </row>
    <row r="279" spans="5:5" x14ac:dyDescent="0.2">
      <c r="E279" s="26"/>
    </row>
    <row r="280" spans="5:5" x14ac:dyDescent="0.2">
      <c r="E280" s="26"/>
    </row>
    <row r="281" spans="5:5" x14ac:dyDescent="0.2">
      <c r="E281" s="26"/>
    </row>
    <row r="282" spans="5:5" x14ac:dyDescent="0.2">
      <c r="E282" s="26"/>
    </row>
    <row r="283" spans="5:5" x14ac:dyDescent="0.2">
      <c r="E283" s="26"/>
    </row>
    <row r="284" spans="5:5" x14ac:dyDescent="0.2">
      <c r="E284" s="26"/>
    </row>
    <row r="285" spans="5:5" x14ac:dyDescent="0.2">
      <c r="E285" s="26"/>
    </row>
    <row r="286" spans="5:5" x14ac:dyDescent="0.2">
      <c r="E286" s="26"/>
    </row>
    <row r="287" spans="5:5" x14ac:dyDescent="0.2">
      <c r="E287" s="26"/>
    </row>
    <row r="288" spans="5:5" x14ac:dyDescent="0.2">
      <c r="E288" s="26"/>
    </row>
    <row r="289" spans="1:10" x14ac:dyDescent="0.2">
      <c r="E289" s="26"/>
    </row>
    <row r="290" spans="1:10" x14ac:dyDescent="0.2">
      <c r="E290" s="26"/>
    </row>
    <row r="291" spans="1:10" s="29" customFormat="1" x14ac:dyDescent="0.2">
      <c r="A291" s="4"/>
      <c r="B291" s="11"/>
      <c r="C291" s="25"/>
      <c r="D291" s="4"/>
      <c r="E291" s="26"/>
      <c r="F291" s="4"/>
      <c r="G291" s="4"/>
      <c r="H291" s="25"/>
      <c r="I291" s="4"/>
      <c r="J291" s="4"/>
    </row>
    <row r="292" spans="1:10" s="29" customFormat="1" x14ac:dyDescent="0.2">
      <c r="A292" s="4"/>
      <c r="B292" s="11"/>
      <c r="C292" s="25"/>
      <c r="D292" s="4"/>
      <c r="E292" s="26"/>
      <c r="F292" s="4"/>
      <c r="G292" s="4"/>
      <c r="H292" s="25"/>
      <c r="I292" s="4"/>
      <c r="J292" s="4"/>
    </row>
    <row r="293" spans="1:10" x14ac:dyDescent="0.2">
      <c r="E293" s="26"/>
    </row>
    <row r="294" spans="1:10" x14ac:dyDescent="0.2">
      <c r="A294" s="29"/>
      <c r="B294" s="30"/>
      <c r="C294" s="31"/>
      <c r="D294" s="29"/>
      <c r="E294" s="32"/>
      <c r="F294" s="29"/>
      <c r="G294" s="29"/>
      <c r="H294" s="31"/>
      <c r="I294" s="29"/>
      <c r="J294" s="29"/>
    </row>
    <row r="295" spans="1:10" x14ac:dyDescent="0.2">
      <c r="A295" s="29"/>
      <c r="B295" s="30"/>
      <c r="C295" s="31"/>
      <c r="D295" s="29"/>
      <c r="E295" s="32"/>
      <c r="F295" s="29"/>
      <c r="G295" s="29"/>
      <c r="H295" s="31"/>
      <c r="I295" s="29"/>
      <c r="J295" s="29"/>
    </row>
    <row r="296" spans="1:10" x14ac:dyDescent="0.2">
      <c r="E296" s="26"/>
    </row>
    <row r="297" spans="1:10" x14ac:dyDescent="0.2">
      <c r="E297" s="26"/>
    </row>
    <row r="298" spans="1:10" x14ac:dyDescent="0.2">
      <c r="E298" s="26"/>
    </row>
    <row r="299" spans="1:10" x14ac:dyDescent="0.2">
      <c r="E299" s="26"/>
    </row>
    <row r="300" spans="1:10" x14ac:dyDescent="0.2">
      <c r="E300" s="26"/>
    </row>
    <row r="301" spans="1:10" x14ac:dyDescent="0.2">
      <c r="E301" s="26"/>
    </row>
    <row r="302" spans="1:10" x14ac:dyDescent="0.2">
      <c r="E302" s="26"/>
    </row>
    <row r="303" spans="1:10" x14ac:dyDescent="0.2">
      <c r="E303" s="26"/>
    </row>
    <row r="304" spans="1:10" x14ac:dyDescent="0.2">
      <c r="E304" s="26"/>
    </row>
    <row r="305" spans="5:5" x14ac:dyDescent="0.2">
      <c r="E305" s="26"/>
    </row>
    <row r="306" spans="5:5" x14ac:dyDescent="0.2">
      <c r="E306" s="26"/>
    </row>
    <row r="307" spans="5:5" x14ac:dyDescent="0.2">
      <c r="E307" s="26"/>
    </row>
    <row r="308" spans="5:5" x14ac:dyDescent="0.2">
      <c r="E308" s="26"/>
    </row>
    <row r="309" spans="5:5" x14ac:dyDescent="0.2">
      <c r="E309" s="26"/>
    </row>
    <row r="310" spans="5:5" x14ac:dyDescent="0.2">
      <c r="E310" s="26"/>
    </row>
    <row r="311" spans="5:5" x14ac:dyDescent="0.2">
      <c r="E311" s="26"/>
    </row>
    <row r="312" spans="5:5" x14ac:dyDescent="0.2">
      <c r="E312" s="26"/>
    </row>
    <row r="313" spans="5:5" x14ac:dyDescent="0.2">
      <c r="E313" s="26"/>
    </row>
    <row r="314" spans="5:5" x14ac:dyDescent="0.2">
      <c r="E314" s="26"/>
    </row>
    <row r="315" spans="5:5" x14ac:dyDescent="0.2">
      <c r="E315" s="26"/>
    </row>
    <row r="316" spans="5:5" x14ac:dyDescent="0.2">
      <c r="E316" s="26"/>
    </row>
    <row r="317" spans="5:5" x14ac:dyDescent="0.2">
      <c r="E317" s="26"/>
    </row>
    <row r="318" spans="5:5" x14ac:dyDescent="0.2">
      <c r="E318" s="26"/>
    </row>
    <row r="319" spans="5:5" x14ac:dyDescent="0.2">
      <c r="E319" s="26"/>
    </row>
    <row r="320" spans="5:5" x14ac:dyDescent="0.2">
      <c r="E320" s="26"/>
    </row>
    <row r="321" spans="5:5" x14ac:dyDescent="0.2">
      <c r="E321" s="26"/>
    </row>
    <row r="322" spans="5:5" x14ac:dyDescent="0.2">
      <c r="E322" s="26"/>
    </row>
    <row r="323" spans="5:5" x14ac:dyDescent="0.2">
      <c r="E323" s="26"/>
    </row>
    <row r="324" spans="5:5" x14ac:dyDescent="0.2">
      <c r="E324" s="26"/>
    </row>
    <row r="325" spans="5:5" x14ac:dyDescent="0.2">
      <c r="E325" s="26"/>
    </row>
    <row r="326" spans="5:5" x14ac:dyDescent="0.2">
      <c r="E326" s="26"/>
    </row>
    <row r="327" spans="5:5" x14ac:dyDescent="0.2">
      <c r="E327" s="26"/>
    </row>
    <row r="328" spans="5:5" x14ac:dyDescent="0.2">
      <c r="E328" s="26"/>
    </row>
    <row r="329" spans="5:5" x14ac:dyDescent="0.2">
      <c r="E329" s="26"/>
    </row>
    <row r="330" spans="5:5" x14ac:dyDescent="0.2">
      <c r="E330" s="26"/>
    </row>
    <row r="331" spans="5:5" x14ac:dyDescent="0.2">
      <c r="E331" s="26"/>
    </row>
    <row r="332" spans="5:5" x14ac:dyDescent="0.2">
      <c r="E332" s="26"/>
    </row>
    <row r="333" spans="5:5" x14ac:dyDescent="0.2">
      <c r="E333" s="26"/>
    </row>
    <row r="334" spans="5:5" x14ac:dyDescent="0.2">
      <c r="E334" s="26"/>
    </row>
    <row r="335" spans="5:5" x14ac:dyDescent="0.2">
      <c r="E335" s="26"/>
    </row>
    <row r="336" spans="5:5" x14ac:dyDescent="0.2">
      <c r="E336" s="26"/>
    </row>
    <row r="337" spans="5:5" x14ac:dyDescent="0.2">
      <c r="E337" s="26"/>
    </row>
    <row r="338" spans="5:5" x14ac:dyDescent="0.2">
      <c r="E338" s="26"/>
    </row>
    <row r="339" spans="5:5" x14ac:dyDescent="0.2">
      <c r="E339" s="26"/>
    </row>
    <row r="340" spans="5:5" x14ac:dyDescent="0.2">
      <c r="E340" s="26"/>
    </row>
    <row r="341" spans="5:5" x14ac:dyDescent="0.2">
      <c r="E341" s="26"/>
    </row>
    <row r="342" spans="5:5" x14ac:dyDescent="0.2">
      <c r="E342" s="26"/>
    </row>
    <row r="343" spans="5:5" x14ac:dyDescent="0.2">
      <c r="E343" s="26"/>
    </row>
    <row r="344" spans="5:5" x14ac:dyDescent="0.2">
      <c r="E344" s="26"/>
    </row>
    <row r="345" spans="5:5" x14ac:dyDescent="0.2">
      <c r="E345" s="26"/>
    </row>
    <row r="346" spans="5:5" x14ac:dyDescent="0.2">
      <c r="E346" s="26"/>
    </row>
    <row r="347" spans="5:5" x14ac:dyDescent="0.2">
      <c r="E347" s="26"/>
    </row>
    <row r="348" spans="5:5" x14ac:dyDescent="0.2">
      <c r="E348" s="26"/>
    </row>
    <row r="349" spans="5:5" x14ac:dyDescent="0.2">
      <c r="E349" s="26"/>
    </row>
    <row r="350" spans="5:5" x14ac:dyDescent="0.2">
      <c r="E350" s="26"/>
    </row>
    <row r="351" spans="5:5" x14ac:dyDescent="0.2">
      <c r="E351" s="26"/>
    </row>
    <row r="352" spans="5:5" x14ac:dyDescent="0.2">
      <c r="E352" s="26"/>
    </row>
    <row r="353" spans="5:5" x14ac:dyDescent="0.2">
      <c r="E353" s="26"/>
    </row>
    <row r="354" spans="5:5" x14ac:dyDescent="0.2">
      <c r="E354" s="26"/>
    </row>
    <row r="355" spans="5:5" x14ac:dyDescent="0.2">
      <c r="E355" s="26"/>
    </row>
    <row r="356" spans="5:5" x14ac:dyDescent="0.2">
      <c r="E356" s="26"/>
    </row>
    <row r="357" spans="5:5" x14ac:dyDescent="0.2">
      <c r="E357" s="26"/>
    </row>
    <row r="358" spans="5:5" x14ac:dyDescent="0.2">
      <c r="E358" s="26"/>
    </row>
    <row r="359" spans="5:5" x14ac:dyDescent="0.2">
      <c r="E359" s="26"/>
    </row>
    <row r="360" spans="5:5" x14ac:dyDescent="0.2">
      <c r="E360" s="26"/>
    </row>
    <row r="361" spans="5:5" x14ac:dyDescent="0.2">
      <c r="E361" s="26"/>
    </row>
    <row r="362" spans="5:5" x14ac:dyDescent="0.2">
      <c r="E362" s="26"/>
    </row>
    <row r="363" spans="5:5" x14ac:dyDescent="0.2">
      <c r="E363" s="26"/>
    </row>
    <row r="364" spans="5:5" x14ac:dyDescent="0.2">
      <c r="E364" s="26"/>
    </row>
    <row r="365" spans="5:5" x14ac:dyDescent="0.2">
      <c r="E365" s="26"/>
    </row>
    <row r="366" spans="5:5" x14ac:dyDescent="0.2">
      <c r="E366" s="26"/>
    </row>
    <row r="367" spans="5:5" x14ac:dyDescent="0.2">
      <c r="E367" s="26"/>
    </row>
    <row r="368" spans="5:5" x14ac:dyDescent="0.2">
      <c r="E368" s="26"/>
    </row>
    <row r="369" spans="5:5" x14ac:dyDescent="0.2">
      <c r="E369" s="26"/>
    </row>
    <row r="370" spans="5:5" x14ac:dyDescent="0.2">
      <c r="E370" s="26"/>
    </row>
    <row r="371" spans="5:5" x14ac:dyDescent="0.2">
      <c r="E371" s="26"/>
    </row>
    <row r="372" spans="5:5" x14ac:dyDescent="0.2">
      <c r="E372" s="26"/>
    </row>
    <row r="373" spans="5:5" x14ac:dyDescent="0.2">
      <c r="E373" s="26"/>
    </row>
    <row r="374" spans="5:5" x14ac:dyDescent="0.2">
      <c r="E374" s="26"/>
    </row>
    <row r="375" spans="5:5" x14ac:dyDescent="0.2">
      <c r="E375" s="26"/>
    </row>
    <row r="376" spans="5:5" x14ac:dyDescent="0.2">
      <c r="E376" s="26"/>
    </row>
    <row r="377" spans="5:5" x14ac:dyDescent="0.2">
      <c r="E377" s="26"/>
    </row>
    <row r="378" spans="5:5" x14ac:dyDescent="0.2">
      <c r="E378" s="26"/>
    </row>
    <row r="379" spans="5:5" x14ac:dyDescent="0.2">
      <c r="E379" s="26"/>
    </row>
    <row r="380" spans="5:5" x14ac:dyDescent="0.2">
      <c r="E380" s="26"/>
    </row>
    <row r="381" spans="5:5" x14ac:dyDescent="0.2">
      <c r="E381" s="26"/>
    </row>
    <row r="382" spans="5:5" x14ac:dyDescent="0.2">
      <c r="E382" s="26"/>
    </row>
    <row r="383" spans="5:5" x14ac:dyDescent="0.2">
      <c r="E383" s="26"/>
    </row>
    <row r="384" spans="5:5" x14ac:dyDescent="0.2">
      <c r="E384" s="26"/>
    </row>
    <row r="385" spans="5:5" x14ac:dyDescent="0.2">
      <c r="E385" s="26"/>
    </row>
    <row r="386" spans="5:5" x14ac:dyDescent="0.2">
      <c r="E386" s="26"/>
    </row>
    <row r="387" spans="5:5" x14ac:dyDescent="0.2">
      <c r="E387" s="26"/>
    </row>
    <row r="388" spans="5:5" x14ac:dyDescent="0.2">
      <c r="E388" s="26"/>
    </row>
    <row r="389" spans="5:5" x14ac:dyDescent="0.2">
      <c r="E389" s="26"/>
    </row>
    <row r="390" spans="5:5" x14ac:dyDescent="0.2">
      <c r="E390" s="26"/>
    </row>
    <row r="391" spans="5:5" x14ac:dyDescent="0.2">
      <c r="E391" s="26"/>
    </row>
    <row r="392" spans="5:5" x14ac:dyDescent="0.2">
      <c r="E392" s="26"/>
    </row>
    <row r="393" spans="5:5" x14ac:dyDescent="0.2">
      <c r="E393" s="26"/>
    </row>
    <row r="394" spans="5:5" x14ac:dyDescent="0.2">
      <c r="E394" s="26"/>
    </row>
    <row r="395" spans="5:5" x14ac:dyDescent="0.2">
      <c r="E395" s="26"/>
    </row>
    <row r="396" spans="5:5" x14ac:dyDescent="0.2">
      <c r="E396" s="26"/>
    </row>
    <row r="397" spans="5:5" x14ac:dyDescent="0.2">
      <c r="E397" s="26"/>
    </row>
    <row r="398" spans="5:5" x14ac:dyDescent="0.2">
      <c r="E398" s="26"/>
    </row>
    <row r="399" spans="5:5" x14ac:dyDescent="0.2">
      <c r="E399" s="26"/>
    </row>
    <row r="400" spans="5:5" x14ac:dyDescent="0.2">
      <c r="E400" s="26"/>
    </row>
    <row r="401" spans="5:5" x14ac:dyDescent="0.2">
      <c r="E401" s="26"/>
    </row>
    <row r="402" spans="5:5" x14ac:dyDescent="0.2">
      <c r="E402" s="26"/>
    </row>
    <row r="403" spans="5:5" x14ac:dyDescent="0.2">
      <c r="E403" s="26"/>
    </row>
    <row r="404" spans="5:5" x14ac:dyDescent="0.2">
      <c r="E404" s="26"/>
    </row>
    <row r="405" spans="5:5" x14ac:dyDescent="0.2">
      <c r="E405" s="26"/>
    </row>
    <row r="406" spans="5:5" x14ac:dyDescent="0.2">
      <c r="E406" s="26"/>
    </row>
    <row r="407" spans="5:5" x14ac:dyDescent="0.2">
      <c r="E407" s="26"/>
    </row>
    <row r="408" spans="5:5" x14ac:dyDescent="0.2">
      <c r="E408" s="26"/>
    </row>
    <row r="409" spans="5:5" x14ac:dyDescent="0.2">
      <c r="E409" s="26"/>
    </row>
    <row r="410" spans="5:5" x14ac:dyDescent="0.2">
      <c r="E410" s="26"/>
    </row>
    <row r="411" spans="5:5" x14ac:dyDescent="0.2">
      <c r="E411" s="26"/>
    </row>
    <row r="412" spans="5:5" x14ac:dyDescent="0.2">
      <c r="E412" s="26"/>
    </row>
    <row r="413" spans="5:5" x14ac:dyDescent="0.2">
      <c r="E413" s="26"/>
    </row>
    <row r="414" spans="5:5" x14ac:dyDescent="0.2">
      <c r="E414" s="26"/>
    </row>
    <row r="415" spans="5:5" x14ac:dyDescent="0.2">
      <c r="E415" s="26"/>
    </row>
    <row r="416" spans="5:5" x14ac:dyDescent="0.2">
      <c r="E416" s="26"/>
    </row>
    <row r="417" spans="5:5" x14ac:dyDescent="0.2">
      <c r="E417" s="26"/>
    </row>
    <row r="418" spans="5:5" x14ac:dyDescent="0.2">
      <c r="E418" s="26"/>
    </row>
    <row r="419" spans="5:5" x14ac:dyDescent="0.2">
      <c r="E419" s="26"/>
    </row>
    <row r="420" spans="5:5" x14ac:dyDescent="0.2">
      <c r="E420" s="26"/>
    </row>
    <row r="421" spans="5:5" x14ac:dyDescent="0.2">
      <c r="E421" s="26"/>
    </row>
    <row r="422" spans="5:5" x14ac:dyDescent="0.2">
      <c r="E422" s="26"/>
    </row>
    <row r="423" spans="5:5" x14ac:dyDescent="0.2">
      <c r="E423" s="26"/>
    </row>
    <row r="424" spans="5:5" x14ac:dyDescent="0.2">
      <c r="E424" s="26"/>
    </row>
    <row r="425" spans="5:5" x14ac:dyDescent="0.2">
      <c r="E425" s="26"/>
    </row>
    <row r="426" spans="5:5" x14ac:dyDescent="0.2">
      <c r="E426" s="26"/>
    </row>
    <row r="427" spans="5:5" x14ac:dyDescent="0.2">
      <c r="E427" s="26"/>
    </row>
    <row r="428" spans="5:5" x14ac:dyDescent="0.2">
      <c r="E428" s="26"/>
    </row>
    <row r="429" spans="5:5" x14ac:dyDescent="0.2">
      <c r="E429" s="26"/>
    </row>
    <row r="430" spans="5:5" x14ac:dyDescent="0.2">
      <c r="E430" s="26"/>
    </row>
    <row r="431" spans="5:5" x14ac:dyDescent="0.2">
      <c r="E431" s="26"/>
    </row>
    <row r="432" spans="5:5" x14ac:dyDescent="0.2">
      <c r="E432" s="26"/>
    </row>
    <row r="433" spans="5:5" x14ac:dyDescent="0.2">
      <c r="E433" s="26"/>
    </row>
    <row r="434" spans="5:5" x14ac:dyDescent="0.2">
      <c r="E434" s="26"/>
    </row>
    <row r="435" spans="5:5" x14ac:dyDescent="0.2">
      <c r="E435" s="26"/>
    </row>
    <row r="436" spans="5:5" x14ac:dyDescent="0.2">
      <c r="E436" s="26"/>
    </row>
    <row r="437" spans="5:5" x14ac:dyDescent="0.2">
      <c r="E437" s="26"/>
    </row>
    <row r="438" spans="5:5" x14ac:dyDescent="0.2">
      <c r="E438" s="26"/>
    </row>
    <row r="439" spans="5:5" x14ac:dyDescent="0.2">
      <c r="E439" s="26"/>
    </row>
    <row r="440" spans="5:5" x14ac:dyDescent="0.2">
      <c r="E440" s="26"/>
    </row>
    <row r="441" spans="5:5" x14ac:dyDescent="0.2">
      <c r="E441" s="26"/>
    </row>
    <row r="442" spans="5:5" x14ac:dyDescent="0.2">
      <c r="E442" s="26"/>
    </row>
    <row r="443" spans="5:5" x14ac:dyDescent="0.2">
      <c r="E443" s="26"/>
    </row>
    <row r="444" spans="5:5" x14ac:dyDescent="0.2">
      <c r="E444" s="26"/>
    </row>
    <row r="445" spans="5:5" x14ac:dyDescent="0.2">
      <c r="E445" s="26"/>
    </row>
    <row r="446" spans="5:5" x14ac:dyDescent="0.2">
      <c r="E446" s="26"/>
    </row>
    <row r="447" spans="5:5" x14ac:dyDescent="0.2">
      <c r="E447" s="26"/>
    </row>
    <row r="448" spans="5:5" x14ac:dyDescent="0.2">
      <c r="E448" s="26"/>
    </row>
    <row r="449" spans="5:5" x14ac:dyDescent="0.2">
      <c r="E449" s="26"/>
    </row>
    <row r="450" spans="5:5" x14ac:dyDescent="0.2">
      <c r="E450" s="26"/>
    </row>
    <row r="451" spans="5:5" x14ac:dyDescent="0.2">
      <c r="E451" s="26"/>
    </row>
    <row r="452" spans="5:5" x14ac:dyDescent="0.2">
      <c r="E452" s="26"/>
    </row>
    <row r="453" spans="5:5" x14ac:dyDescent="0.2">
      <c r="E453" s="26"/>
    </row>
    <row r="454" spans="5:5" x14ac:dyDescent="0.2">
      <c r="E454" s="26"/>
    </row>
    <row r="455" spans="5:5" x14ac:dyDescent="0.2">
      <c r="E455" s="26"/>
    </row>
    <row r="456" spans="5:5" x14ac:dyDescent="0.2">
      <c r="E456" s="26"/>
    </row>
    <row r="457" spans="5:5" x14ac:dyDescent="0.2">
      <c r="E457" s="26"/>
    </row>
    <row r="458" spans="5:5" x14ac:dyDescent="0.2">
      <c r="E458" s="26"/>
    </row>
    <row r="459" spans="5:5" x14ac:dyDescent="0.2">
      <c r="E459" s="26"/>
    </row>
    <row r="460" spans="5:5" x14ac:dyDescent="0.2">
      <c r="E460" s="26"/>
    </row>
    <row r="461" spans="5:5" x14ac:dyDescent="0.2">
      <c r="E461" s="26"/>
    </row>
    <row r="462" spans="5:5" x14ac:dyDescent="0.2">
      <c r="E462" s="26"/>
    </row>
    <row r="463" spans="5:5" x14ac:dyDescent="0.2">
      <c r="E463" s="26"/>
    </row>
    <row r="464" spans="5:5" x14ac:dyDescent="0.2">
      <c r="E464" s="26"/>
    </row>
    <row r="465" spans="5:5" x14ac:dyDescent="0.2">
      <c r="E465" s="26"/>
    </row>
    <row r="466" spans="5:5" x14ac:dyDescent="0.2">
      <c r="E466" s="26"/>
    </row>
    <row r="467" spans="5:5" x14ac:dyDescent="0.2">
      <c r="E467" s="26"/>
    </row>
    <row r="468" spans="5:5" x14ac:dyDescent="0.2">
      <c r="E468" s="26"/>
    </row>
    <row r="469" spans="5:5" x14ac:dyDescent="0.2">
      <c r="E469" s="26"/>
    </row>
    <row r="470" spans="5:5" x14ac:dyDescent="0.2">
      <c r="E470" s="26"/>
    </row>
    <row r="471" spans="5:5" x14ac:dyDescent="0.2">
      <c r="E471" s="26"/>
    </row>
    <row r="472" spans="5:5" x14ac:dyDescent="0.2">
      <c r="E472" s="26"/>
    </row>
    <row r="473" spans="5:5" x14ac:dyDescent="0.2">
      <c r="E473" s="26"/>
    </row>
    <row r="474" spans="5:5" x14ac:dyDescent="0.2">
      <c r="E474" s="26"/>
    </row>
    <row r="475" spans="5:5" x14ac:dyDescent="0.2">
      <c r="E475" s="26"/>
    </row>
    <row r="476" spans="5:5" x14ac:dyDescent="0.2">
      <c r="E476" s="26"/>
    </row>
    <row r="477" spans="5:5" x14ac:dyDescent="0.2">
      <c r="E477" s="26"/>
    </row>
    <row r="478" spans="5:5" x14ac:dyDescent="0.2">
      <c r="E478" s="26"/>
    </row>
    <row r="479" spans="5:5" x14ac:dyDescent="0.2">
      <c r="E479" s="26"/>
    </row>
    <row r="480" spans="5:5" x14ac:dyDescent="0.2">
      <c r="E480" s="26"/>
    </row>
    <row r="481" spans="5:5" x14ac:dyDescent="0.2">
      <c r="E481" s="26"/>
    </row>
    <row r="482" spans="5:5" x14ac:dyDescent="0.2">
      <c r="E482" s="26"/>
    </row>
    <row r="483" spans="5:5" x14ac:dyDescent="0.2">
      <c r="E483" s="26"/>
    </row>
    <row r="484" spans="5:5" x14ac:dyDescent="0.2">
      <c r="E484" s="26"/>
    </row>
    <row r="485" spans="5:5" x14ac:dyDescent="0.2">
      <c r="E485" s="26"/>
    </row>
    <row r="486" spans="5:5" x14ac:dyDescent="0.2">
      <c r="E486" s="26"/>
    </row>
    <row r="487" spans="5:5" x14ac:dyDescent="0.2">
      <c r="E487" s="26"/>
    </row>
    <row r="488" spans="5:5" x14ac:dyDescent="0.2">
      <c r="E488" s="26"/>
    </row>
    <row r="489" spans="5:5" x14ac:dyDescent="0.2">
      <c r="E489" s="26"/>
    </row>
    <row r="490" spans="5:5" x14ac:dyDescent="0.2">
      <c r="E490" s="26"/>
    </row>
    <row r="491" spans="5:5" x14ac:dyDescent="0.2">
      <c r="E491" s="26"/>
    </row>
    <row r="492" spans="5:5" x14ac:dyDescent="0.2">
      <c r="E492" s="26"/>
    </row>
    <row r="493" spans="5:5" x14ac:dyDescent="0.2">
      <c r="E493" s="26"/>
    </row>
    <row r="494" spans="5:5" x14ac:dyDescent="0.2">
      <c r="E494" s="26"/>
    </row>
    <row r="495" spans="5:5" x14ac:dyDescent="0.2">
      <c r="E495" s="26"/>
    </row>
    <row r="496" spans="5:5" x14ac:dyDescent="0.2">
      <c r="E496" s="26"/>
    </row>
    <row r="497" spans="5:5" x14ac:dyDescent="0.2">
      <c r="E497" s="26"/>
    </row>
    <row r="498" spans="5:5" x14ac:dyDescent="0.2">
      <c r="E498" s="26"/>
    </row>
    <row r="499" spans="5:5" x14ac:dyDescent="0.2">
      <c r="E499" s="26"/>
    </row>
    <row r="500" spans="5:5" x14ac:dyDescent="0.2">
      <c r="E500" s="26"/>
    </row>
    <row r="501" spans="5:5" x14ac:dyDescent="0.2">
      <c r="E501" s="26"/>
    </row>
    <row r="502" spans="5:5" x14ac:dyDescent="0.2">
      <c r="E502" s="26"/>
    </row>
    <row r="503" spans="5:5" x14ac:dyDescent="0.2">
      <c r="E503" s="26"/>
    </row>
    <row r="504" spans="5:5" x14ac:dyDescent="0.2">
      <c r="E504" s="26"/>
    </row>
    <row r="505" spans="5:5" x14ac:dyDescent="0.2">
      <c r="E505" s="26"/>
    </row>
    <row r="506" spans="5:5" x14ac:dyDescent="0.2">
      <c r="E506" s="26"/>
    </row>
    <row r="507" spans="5:5" x14ac:dyDescent="0.2">
      <c r="E507" s="26"/>
    </row>
    <row r="508" spans="5:5" x14ac:dyDescent="0.2">
      <c r="E508" s="26"/>
    </row>
    <row r="509" spans="5:5" x14ac:dyDescent="0.2">
      <c r="E509" s="26"/>
    </row>
    <row r="510" spans="5:5" x14ac:dyDescent="0.2">
      <c r="E510" s="26"/>
    </row>
    <row r="511" spans="5:5" x14ac:dyDescent="0.2">
      <c r="E511" s="26"/>
    </row>
    <row r="512" spans="5:5" x14ac:dyDescent="0.2">
      <c r="E512" s="26"/>
    </row>
    <row r="513" spans="5:5" x14ac:dyDescent="0.2">
      <c r="E513" s="26"/>
    </row>
    <row r="514" spans="5:5" x14ac:dyDescent="0.2">
      <c r="E514" s="26"/>
    </row>
    <row r="515" spans="5:5" x14ac:dyDescent="0.2">
      <c r="E515" s="26"/>
    </row>
    <row r="516" spans="5:5" x14ac:dyDescent="0.2">
      <c r="E516" s="26"/>
    </row>
    <row r="517" spans="5:5" x14ac:dyDescent="0.2">
      <c r="E517" s="26"/>
    </row>
    <row r="518" spans="5:5" x14ac:dyDescent="0.2">
      <c r="E518" s="26"/>
    </row>
    <row r="519" spans="5:5" x14ac:dyDescent="0.2">
      <c r="E519" s="26"/>
    </row>
    <row r="520" spans="5:5" x14ac:dyDescent="0.2">
      <c r="E520" s="26"/>
    </row>
    <row r="521" spans="5:5" x14ac:dyDescent="0.2">
      <c r="E521" s="26"/>
    </row>
    <row r="522" spans="5:5" x14ac:dyDescent="0.2">
      <c r="E522" s="26"/>
    </row>
    <row r="523" spans="5:5" x14ac:dyDescent="0.2">
      <c r="E523" s="26"/>
    </row>
    <row r="524" spans="5:5" x14ac:dyDescent="0.2">
      <c r="E524" s="26"/>
    </row>
    <row r="525" spans="5:5" x14ac:dyDescent="0.2">
      <c r="E525" s="26"/>
    </row>
    <row r="526" spans="5:5" x14ac:dyDescent="0.2">
      <c r="E526" s="26"/>
    </row>
    <row r="527" spans="5:5" x14ac:dyDescent="0.2">
      <c r="E527" s="26"/>
    </row>
    <row r="528" spans="5:5" x14ac:dyDescent="0.2">
      <c r="E528" s="26"/>
    </row>
    <row r="529" spans="5:5" x14ac:dyDescent="0.2">
      <c r="E529" s="26"/>
    </row>
    <row r="530" spans="5:5" x14ac:dyDescent="0.2">
      <c r="E530" s="26"/>
    </row>
    <row r="531" spans="5:5" x14ac:dyDescent="0.2">
      <c r="E531" s="26"/>
    </row>
    <row r="532" spans="5:5" x14ac:dyDescent="0.2">
      <c r="E532" s="26"/>
    </row>
    <row r="533" spans="5:5" x14ac:dyDescent="0.2">
      <c r="E533" s="26"/>
    </row>
    <row r="534" spans="5:5" x14ac:dyDescent="0.2">
      <c r="E534" s="26"/>
    </row>
    <row r="535" spans="5:5" x14ac:dyDescent="0.2">
      <c r="E535" s="26"/>
    </row>
    <row r="536" spans="5:5" x14ac:dyDescent="0.2">
      <c r="E536" s="26"/>
    </row>
    <row r="537" spans="5:5" x14ac:dyDescent="0.2">
      <c r="E537" s="26"/>
    </row>
    <row r="538" spans="5:5" x14ac:dyDescent="0.2">
      <c r="E538" s="26"/>
    </row>
    <row r="539" spans="5:5" x14ac:dyDescent="0.2">
      <c r="E539" s="26"/>
    </row>
    <row r="540" spans="5:5" x14ac:dyDescent="0.2">
      <c r="E540" s="26"/>
    </row>
    <row r="541" spans="5:5" x14ac:dyDescent="0.2">
      <c r="E541" s="26"/>
    </row>
    <row r="542" spans="5:5" x14ac:dyDescent="0.2">
      <c r="E542" s="26"/>
    </row>
    <row r="543" spans="5:5" x14ac:dyDescent="0.2">
      <c r="E543" s="26"/>
    </row>
    <row r="544" spans="5:5" x14ac:dyDescent="0.2">
      <c r="E544" s="26"/>
    </row>
    <row r="545" spans="5:5" x14ac:dyDescent="0.2">
      <c r="E545" s="26"/>
    </row>
    <row r="546" spans="5:5" x14ac:dyDescent="0.2">
      <c r="E546" s="26"/>
    </row>
    <row r="547" spans="5:5" x14ac:dyDescent="0.2">
      <c r="E547" s="26"/>
    </row>
    <row r="548" spans="5:5" x14ac:dyDescent="0.2">
      <c r="E548" s="26"/>
    </row>
    <row r="549" spans="5:5" x14ac:dyDescent="0.2">
      <c r="E549" s="26"/>
    </row>
    <row r="550" spans="5:5" x14ac:dyDescent="0.2">
      <c r="E550" s="26"/>
    </row>
    <row r="551" spans="5:5" x14ac:dyDescent="0.2">
      <c r="E551" s="26"/>
    </row>
    <row r="552" spans="5:5" x14ac:dyDescent="0.2">
      <c r="E552" s="26"/>
    </row>
    <row r="553" spans="5:5" x14ac:dyDescent="0.2">
      <c r="E553" s="26"/>
    </row>
    <row r="554" spans="5:5" x14ac:dyDescent="0.2">
      <c r="E554" s="26"/>
    </row>
    <row r="555" spans="5:5" x14ac:dyDescent="0.2">
      <c r="E555" s="26"/>
    </row>
    <row r="556" spans="5:5" x14ac:dyDescent="0.2">
      <c r="E556" s="26"/>
    </row>
    <row r="557" spans="5:5" x14ac:dyDescent="0.2">
      <c r="E557" s="26"/>
    </row>
    <row r="558" spans="5:5" x14ac:dyDescent="0.2">
      <c r="E558" s="26"/>
    </row>
    <row r="559" spans="5:5" x14ac:dyDescent="0.2">
      <c r="E559" s="26"/>
    </row>
    <row r="560" spans="5:5" x14ac:dyDescent="0.2">
      <c r="E560" s="26"/>
    </row>
    <row r="561" spans="5:5" x14ac:dyDescent="0.2">
      <c r="E561" s="26"/>
    </row>
    <row r="562" spans="5:5" x14ac:dyDescent="0.2">
      <c r="E562" s="26"/>
    </row>
    <row r="563" spans="5:5" x14ac:dyDescent="0.2">
      <c r="E563" s="26"/>
    </row>
    <row r="564" spans="5:5" x14ac:dyDescent="0.2">
      <c r="E564" s="26"/>
    </row>
    <row r="565" spans="5:5" x14ac:dyDescent="0.2">
      <c r="E565" s="26"/>
    </row>
    <row r="566" spans="5:5" x14ac:dyDescent="0.2">
      <c r="E566" s="26"/>
    </row>
    <row r="567" spans="5:5" x14ac:dyDescent="0.2">
      <c r="E567" s="26"/>
    </row>
    <row r="568" spans="5:5" x14ac:dyDescent="0.2">
      <c r="E568" s="26"/>
    </row>
    <row r="569" spans="5:5" x14ac:dyDescent="0.2">
      <c r="E569" s="26"/>
    </row>
    <row r="570" spans="5:5" x14ac:dyDescent="0.2">
      <c r="E570" s="26"/>
    </row>
    <row r="571" spans="5:5" x14ac:dyDescent="0.2">
      <c r="E571" s="26"/>
    </row>
    <row r="572" spans="5:5" x14ac:dyDescent="0.2">
      <c r="E572" s="26"/>
    </row>
    <row r="573" spans="5:5" x14ac:dyDescent="0.2">
      <c r="E573" s="26"/>
    </row>
    <row r="574" spans="5:5" x14ac:dyDescent="0.2">
      <c r="E574" s="26"/>
    </row>
    <row r="575" spans="5:5" x14ac:dyDescent="0.2">
      <c r="E575" s="26"/>
    </row>
    <row r="576" spans="5:5" x14ac:dyDescent="0.2">
      <c r="E576" s="26"/>
    </row>
    <row r="577" spans="5:5" x14ac:dyDescent="0.2">
      <c r="E577" s="26"/>
    </row>
    <row r="578" spans="5:5" x14ac:dyDescent="0.2">
      <c r="E578" s="26"/>
    </row>
    <row r="579" spans="5:5" x14ac:dyDescent="0.2">
      <c r="E579" s="26"/>
    </row>
    <row r="580" spans="5:5" x14ac:dyDescent="0.2">
      <c r="E580" s="26"/>
    </row>
    <row r="581" spans="5:5" x14ac:dyDescent="0.2">
      <c r="E581" s="26"/>
    </row>
    <row r="582" spans="5:5" x14ac:dyDescent="0.2">
      <c r="E582" s="26"/>
    </row>
    <row r="583" spans="5:5" x14ac:dyDescent="0.2">
      <c r="E583" s="26"/>
    </row>
    <row r="584" spans="5:5" x14ac:dyDescent="0.2">
      <c r="E584" s="26"/>
    </row>
    <row r="585" spans="5:5" x14ac:dyDescent="0.2">
      <c r="E585" s="26"/>
    </row>
    <row r="586" spans="5:5" x14ac:dyDescent="0.2">
      <c r="E586" s="26"/>
    </row>
    <row r="587" spans="5:5" x14ac:dyDescent="0.2">
      <c r="E587" s="26"/>
    </row>
    <row r="588" spans="5:5" x14ac:dyDescent="0.2">
      <c r="E588" s="26"/>
    </row>
    <row r="589" spans="5:5" x14ac:dyDescent="0.2">
      <c r="E589" s="26"/>
    </row>
    <row r="590" spans="5:5" x14ac:dyDescent="0.2">
      <c r="E590" s="26"/>
    </row>
    <row r="591" spans="5:5" x14ac:dyDescent="0.2">
      <c r="E591" s="26"/>
    </row>
    <row r="592" spans="5:5" x14ac:dyDescent="0.2">
      <c r="E592" s="26"/>
    </row>
    <row r="593" spans="5:5" x14ac:dyDescent="0.2">
      <c r="E593" s="26"/>
    </row>
    <row r="594" spans="5:5" x14ac:dyDescent="0.2">
      <c r="E594" s="26"/>
    </row>
    <row r="595" spans="5:5" x14ac:dyDescent="0.2">
      <c r="E595" s="26"/>
    </row>
    <row r="596" spans="5:5" x14ac:dyDescent="0.2">
      <c r="E596" s="26"/>
    </row>
    <row r="597" spans="5:5" x14ac:dyDescent="0.2">
      <c r="E597" s="26"/>
    </row>
    <row r="598" spans="5:5" x14ac:dyDescent="0.2">
      <c r="E598" s="26"/>
    </row>
    <row r="599" spans="5:5" x14ac:dyDescent="0.2">
      <c r="E599" s="26"/>
    </row>
    <row r="600" spans="5:5" x14ac:dyDescent="0.2">
      <c r="E600" s="26"/>
    </row>
    <row r="601" spans="5:5" x14ac:dyDescent="0.2">
      <c r="E601" s="26"/>
    </row>
    <row r="602" spans="5:5" x14ac:dyDescent="0.2">
      <c r="E602" s="26"/>
    </row>
    <row r="603" spans="5:5" x14ac:dyDescent="0.2">
      <c r="E603" s="26"/>
    </row>
    <row r="604" spans="5:5" x14ac:dyDescent="0.2">
      <c r="E604" s="26"/>
    </row>
    <row r="605" spans="5:5" x14ac:dyDescent="0.2">
      <c r="E605" s="26"/>
    </row>
    <row r="606" spans="5:5" x14ac:dyDescent="0.2">
      <c r="E606" s="26"/>
    </row>
    <row r="607" spans="5:5" x14ac:dyDescent="0.2">
      <c r="E607" s="26"/>
    </row>
    <row r="608" spans="5:5" x14ac:dyDescent="0.2">
      <c r="E608" s="26"/>
    </row>
    <row r="609" spans="5:5" x14ac:dyDescent="0.2">
      <c r="E609" s="26"/>
    </row>
    <row r="610" spans="5:5" x14ac:dyDescent="0.2">
      <c r="E610" s="26"/>
    </row>
    <row r="611" spans="5:5" x14ac:dyDescent="0.2">
      <c r="E611" s="26"/>
    </row>
    <row r="612" spans="5:5" x14ac:dyDescent="0.2">
      <c r="E612" s="26"/>
    </row>
    <row r="613" spans="5:5" x14ac:dyDescent="0.2">
      <c r="E613" s="26"/>
    </row>
    <row r="614" spans="5:5" x14ac:dyDescent="0.2">
      <c r="E614" s="26"/>
    </row>
    <row r="615" spans="5:5" x14ac:dyDescent="0.2">
      <c r="E615" s="26"/>
    </row>
    <row r="616" spans="5:5" x14ac:dyDescent="0.2">
      <c r="E616" s="26"/>
    </row>
    <row r="617" spans="5:5" x14ac:dyDescent="0.2">
      <c r="E617" s="26"/>
    </row>
    <row r="618" spans="5:5" x14ac:dyDescent="0.2">
      <c r="E618" s="26"/>
    </row>
    <row r="619" spans="5:5" x14ac:dyDescent="0.2">
      <c r="E619" s="26"/>
    </row>
    <row r="620" spans="5:5" x14ac:dyDescent="0.2">
      <c r="E620" s="26"/>
    </row>
    <row r="621" spans="5:5" x14ac:dyDescent="0.2">
      <c r="E621" s="26"/>
    </row>
    <row r="622" spans="5:5" x14ac:dyDescent="0.2">
      <c r="E622" s="26"/>
    </row>
    <row r="623" spans="5:5" x14ac:dyDescent="0.2">
      <c r="E623" s="26"/>
    </row>
    <row r="624" spans="5:5" x14ac:dyDescent="0.2">
      <c r="E624" s="26"/>
    </row>
    <row r="625" spans="5:5" x14ac:dyDescent="0.2">
      <c r="E625" s="26"/>
    </row>
    <row r="626" spans="5:5" x14ac:dyDescent="0.2">
      <c r="E626" s="26"/>
    </row>
    <row r="627" spans="5:5" x14ac:dyDescent="0.2">
      <c r="E627" s="26"/>
    </row>
    <row r="628" spans="5:5" x14ac:dyDescent="0.2">
      <c r="E628" s="26"/>
    </row>
    <row r="629" spans="5:5" x14ac:dyDescent="0.2">
      <c r="E629" s="26"/>
    </row>
    <row r="630" spans="5:5" x14ac:dyDescent="0.2">
      <c r="E630" s="26"/>
    </row>
    <row r="631" spans="5:5" x14ac:dyDescent="0.2">
      <c r="E631" s="26"/>
    </row>
    <row r="632" spans="5:5" x14ac:dyDescent="0.2">
      <c r="E632" s="26"/>
    </row>
    <row r="633" spans="5:5" x14ac:dyDescent="0.2">
      <c r="E633" s="26"/>
    </row>
    <row r="634" spans="5:5" x14ac:dyDescent="0.2">
      <c r="E634" s="26"/>
    </row>
    <row r="635" spans="5:5" x14ac:dyDescent="0.2">
      <c r="E635" s="26"/>
    </row>
    <row r="636" spans="5:5" x14ac:dyDescent="0.2">
      <c r="E636" s="26"/>
    </row>
    <row r="637" spans="5:5" x14ac:dyDescent="0.2">
      <c r="E637" s="26"/>
    </row>
    <row r="638" spans="5:5" x14ac:dyDescent="0.2">
      <c r="E638" s="26"/>
    </row>
    <row r="639" spans="5:5" x14ac:dyDescent="0.2">
      <c r="E639" s="26"/>
    </row>
    <row r="640" spans="5:5" x14ac:dyDescent="0.2">
      <c r="E640" s="26"/>
    </row>
    <row r="641" spans="5:5" x14ac:dyDescent="0.2">
      <c r="E641" s="26"/>
    </row>
    <row r="642" spans="5:5" x14ac:dyDescent="0.2">
      <c r="E642" s="26"/>
    </row>
    <row r="643" spans="5:5" x14ac:dyDescent="0.2">
      <c r="E643" s="26"/>
    </row>
    <row r="644" spans="5:5" x14ac:dyDescent="0.2">
      <c r="E644" s="26"/>
    </row>
    <row r="645" spans="5:5" x14ac:dyDescent="0.2">
      <c r="E645" s="26"/>
    </row>
    <row r="646" spans="5:5" x14ac:dyDescent="0.2">
      <c r="E646" s="26"/>
    </row>
    <row r="647" spans="5:5" x14ac:dyDescent="0.2">
      <c r="E647" s="26"/>
    </row>
    <row r="648" spans="5:5" x14ac:dyDescent="0.2">
      <c r="E648" s="26"/>
    </row>
    <row r="649" spans="5:5" x14ac:dyDescent="0.2">
      <c r="E649" s="26"/>
    </row>
    <row r="650" spans="5:5" x14ac:dyDescent="0.2">
      <c r="E650" s="26"/>
    </row>
    <row r="651" spans="5:5" x14ac:dyDescent="0.2">
      <c r="E651" s="26"/>
    </row>
    <row r="652" spans="5:5" x14ac:dyDescent="0.2">
      <c r="E652" s="26"/>
    </row>
    <row r="653" spans="5:5" x14ac:dyDescent="0.2">
      <c r="E653" s="26"/>
    </row>
    <row r="654" spans="5:5" x14ac:dyDescent="0.2">
      <c r="E654" s="26"/>
    </row>
    <row r="655" spans="5:5" x14ac:dyDescent="0.2">
      <c r="E655" s="26"/>
    </row>
    <row r="656" spans="5:5" x14ac:dyDescent="0.2">
      <c r="E656" s="26"/>
    </row>
    <row r="657" spans="5:5" x14ac:dyDescent="0.2">
      <c r="E657" s="26"/>
    </row>
    <row r="658" spans="5:5" x14ac:dyDescent="0.2">
      <c r="E658" s="26"/>
    </row>
    <row r="659" spans="5:5" x14ac:dyDescent="0.2">
      <c r="E659" s="26"/>
    </row>
    <row r="660" spans="5:5" x14ac:dyDescent="0.2">
      <c r="E660" s="26"/>
    </row>
    <row r="661" spans="5:5" x14ac:dyDescent="0.2">
      <c r="E661" s="26"/>
    </row>
    <row r="662" spans="5:5" x14ac:dyDescent="0.2">
      <c r="E662" s="26"/>
    </row>
    <row r="663" spans="5:5" x14ac:dyDescent="0.2">
      <c r="E663" s="26"/>
    </row>
    <row r="664" spans="5:5" x14ac:dyDescent="0.2">
      <c r="E664" s="26"/>
    </row>
    <row r="665" spans="5:5" x14ac:dyDescent="0.2">
      <c r="E665" s="26"/>
    </row>
    <row r="666" spans="5:5" x14ac:dyDescent="0.2">
      <c r="E666" s="26"/>
    </row>
    <row r="667" spans="5:5" x14ac:dyDescent="0.2">
      <c r="E667" s="26"/>
    </row>
    <row r="668" spans="5:5" x14ac:dyDescent="0.2">
      <c r="E668" s="26"/>
    </row>
    <row r="669" spans="5:5" x14ac:dyDescent="0.2">
      <c r="E669" s="26"/>
    </row>
    <row r="670" spans="5:5" x14ac:dyDescent="0.2">
      <c r="E670" s="26"/>
    </row>
    <row r="671" spans="5:5" x14ac:dyDescent="0.2">
      <c r="E671" s="26"/>
    </row>
    <row r="672" spans="5:5" x14ac:dyDescent="0.2">
      <c r="E672" s="26"/>
    </row>
    <row r="673" spans="5:5" x14ac:dyDescent="0.2">
      <c r="E673" s="26"/>
    </row>
    <row r="674" spans="5:5" x14ac:dyDescent="0.2">
      <c r="E674" s="26"/>
    </row>
    <row r="675" spans="5:5" x14ac:dyDescent="0.2">
      <c r="E675" s="26"/>
    </row>
    <row r="676" spans="5:5" x14ac:dyDescent="0.2">
      <c r="E676" s="26"/>
    </row>
    <row r="677" spans="5:5" x14ac:dyDescent="0.2">
      <c r="E677" s="26"/>
    </row>
    <row r="678" spans="5:5" x14ac:dyDescent="0.2">
      <c r="E678" s="26"/>
    </row>
    <row r="679" spans="5:5" x14ac:dyDescent="0.2">
      <c r="E679" s="26"/>
    </row>
    <row r="680" spans="5:5" x14ac:dyDescent="0.2">
      <c r="E680" s="26"/>
    </row>
    <row r="681" spans="5:5" x14ac:dyDescent="0.2">
      <c r="E681" s="26"/>
    </row>
    <row r="682" spans="5:5" x14ac:dyDescent="0.2">
      <c r="E682" s="26"/>
    </row>
    <row r="683" spans="5:5" x14ac:dyDescent="0.2">
      <c r="E683" s="26"/>
    </row>
    <row r="684" spans="5:5" x14ac:dyDescent="0.2">
      <c r="E684" s="26"/>
    </row>
    <row r="685" spans="5:5" x14ac:dyDescent="0.2">
      <c r="E685" s="26"/>
    </row>
    <row r="686" spans="5:5" x14ac:dyDescent="0.2">
      <c r="E686" s="26"/>
    </row>
    <row r="687" spans="5:5" x14ac:dyDescent="0.2">
      <c r="E687" s="26"/>
    </row>
    <row r="688" spans="5:5" x14ac:dyDescent="0.2">
      <c r="E688" s="26"/>
    </row>
    <row r="689" spans="5:5" x14ac:dyDescent="0.2">
      <c r="E689" s="26"/>
    </row>
    <row r="690" spans="5:5" x14ac:dyDescent="0.2">
      <c r="E690" s="26"/>
    </row>
    <row r="691" spans="5:5" x14ac:dyDescent="0.2">
      <c r="E691" s="26"/>
    </row>
    <row r="692" spans="5:5" x14ac:dyDescent="0.2">
      <c r="E692" s="26"/>
    </row>
    <row r="693" spans="5:5" x14ac:dyDescent="0.2">
      <c r="E693" s="26"/>
    </row>
    <row r="694" spans="5:5" x14ac:dyDescent="0.2">
      <c r="E694" s="26"/>
    </row>
    <row r="695" spans="5:5" x14ac:dyDescent="0.2">
      <c r="E695" s="26"/>
    </row>
    <row r="696" spans="5:5" x14ac:dyDescent="0.2">
      <c r="E696" s="26"/>
    </row>
    <row r="697" spans="5:5" x14ac:dyDescent="0.2">
      <c r="E697" s="26"/>
    </row>
    <row r="698" spans="5:5" x14ac:dyDescent="0.2">
      <c r="E698" s="26"/>
    </row>
    <row r="699" spans="5:5" x14ac:dyDescent="0.2">
      <c r="E699" s="26"/>
    </row>
    <row r="700" spans="5:5" x14ac:dyDescent="0.2">
      <c r="E700" s="26"/>
    </row>
    <row r="701" spans="5:5" x14ac:dyDescent="0.2">
      <c r="E701" s="26"/>
    </row>
    <row r="702" spans="5:5" x14ac:dyDescent="0.2">
      <c r="E702" s="26"/>
    </row>
    <row r="703" spans="5:5" x14ac:dyDescent="0.2">
      <c r="E703" s="26"/>
    </row>
    <row r="704" spans="5:5" x14ac:dyDescent="0.2">
      <c r="E704" s="26"/>
    </row>
    <row r="705" spans="5:5" x14ac:dyDescent="0.2">
      <c r="E705" s="26"/>
    </row>
    <row r="706" spans="5:5" x14ac:dyDescent="0.2">
      <c r="E706" s="26"/>
    </row>
    <row r="707" spans="5:5" x14ac:dyDescent="0.2">
      <c r="E707" s="26"/>
    </row>
    <row r="708" spans="5:5" x14ac:dyDescent="0.2">
      <c r="E708" s="26"/>
    </row>
    <row r="709" spans="5:5" x14ac:dyDescent="0.2">
      <c r="E709" s="26"/>
    </row>
    <row r="710" spans="5:5" x14ac:dyDescent="0.2">
      <c r="E710" s="26"/>
    </row>
    <row r="711" spans="5:5" x14ac:dyDescent="0.2">
      <c r="E711" s="26"/>
    </row>
    <row r="712" spans="5:5" x14ac:dyDescent="0.2">
      <c r="E712" s="26"/>
    </row>
    <row r="713" spans="5:5" x14ac:dyDescent="0.2">
      <c r="E713" s="26"/>
    </row>
    <row r="714" spans="5:5" x14ac:dyDescent="0.2">
      <c r="E714" s="26"/>
    </row>
    <row r="715" spans="5:5" x14ac:dyDescent="0.2">
      <c r="E715" s="26"/>
    </row>
    <row r="716" spans="5:5" x14ac:dyDescent="0.2">
      <c r="E716" s="26"/>
    </row>
    <row r="717" spans="5:5" x14ac:dyDescent="0.2">
      <c r="E717" s="26"/>
    </row>
    <row r="718" spans="5:5" x14ac:dyDescent="0.2">
      <c r="E718" s="26"/>
    </row>
    <row r="719" spans="5:5" x14ac:dyDescent="0.2">
      <c r="E719" s="26"/>
    </row>
    <row r="720" spans="5:5" x14ac:dyDescent="0.2">
      <c r="E720" s="26"/>
    </row>
    <row r="721" spans="5:5" x14ac:dyDescent="0.2">
      <c r="E721" s="26"/>
    </row>
    <row r="722" spans="5:5" x14ac:dyDescent="0.2">
      <c r="E722" s="26"/>
    </row>
    <row r="723" spans="5:5" x14ac:dyDescent="0.2">
      <c r="E723" s="26"/>
    </row>
    <row r="724" spans="5:5" x14ac:dyDescent="0.2">
      <c r="E724" s="26"/>
    </row>
    <row r="725" spans="5:5" x14ac:dyDescent="0.2">
      <c r="E725" s="26"/>
    </row>
    <row r="726" spans="5:5" x14ac:dyDescent="0.2">
      <c r="E726" s="26"/>
    </row>
    <row r="727" spans="5:5" x14ac:dyDescent="0.2">
      <c r="E727" s="26"/>
    </row>
    <row r="728" spans="5:5" x14ac:dyDescent="0.2">
      <c r="E728" s="26"/>
    </row>
    <row r="729" spans="5:5" x14ac:dyDescent="0.2">
      <c r="E729" s="26"/>
    </row>
    <row r="730" spans="5:5" x14ac:dyDescent="0.2">
      <c r="E730" s="26"/>
    </row>
    <row r="731" spans="5:5" x14ac:dyDescent="0.2">
      <c r="E731" s="26"/>
    </row>
    <row r="732" spans="5:5" x14ac:dyDescent="0.2">
      <c r="E732" s="26"/>
    </row>
    <row r="733" spans="5:5" x14ac:dyDescent="0.2">
      <c r="E733" s="26"/>
    </row>
    <row r="734" spans="5:5" x14ac:dyDescent="0.2">
      <c r="E734" s="26"/>
    </row>
    <row r="735" spans="5:5" x14ac:dyDescent="0.2">
      <c r="E735" s="26"/>
    </row>
    <row r="736" spans="5:5" x14ac:dyDescent="0.2">
      <c r="E736" s="26"/>
    </row>
    <row r="737" spans="5:5" x14ac:dyDescent="0.2">
      <c r="E737" s="26"/>
    </row>
    <row r="738" spans="5:5" x14ac:dyDescent="0.2">
      <c r="E738" s="26"/>
    </row>
    <row r="739" spans="5:5" x14ac:dyDescent="0.2">
      <c r="E739" s="26"/>
    </row>
    <row r="740" spans="5:5" x14ac:dyDescent="0.2">
      <c r="E740" s="26"/>
    </row>
    <row r="741" spans="5:5" x14ac:dyDescent="0.2">
      <c r="E741" s="26"/>
    </row>
    <row r="742" spans="5:5" x14ac:dyDescent="0.2">
      <c r="E742" s="26"/>
    </row>
    <row r="743" spans="5:5" x14ac:dyDescent="0.2">
      <c r="E743" s="26"/>
    </row>
    <row r="744" spans="5:5" x14ac:dyDescent="0.2">
      <c r="E744" s="26"/>
    </row>
    <row r="745" spans="5:5" x14ac:dyDescent="0.2">
      <c r="E745" s="26"/>
    </row>
    <row r="746" spans="5:5" x14ac:dyDescent="0.2">
      <c r="E746" s="26"/>
    </row>
    <row r="747" spans="5:5" x14ac:dyDescent="0.2">
      <c r="E747" s="26"/>
    </row>
    <row r="748" spans="5:5" x14ac:dyDescent="0.2">
      <c r="E748" s="26"/>
    </row>
    <row r="749" spans="5:5" x14ac:dyDescent="0.2">
      <c r="E749" s="26"/>
    </row>
    <row r="750" spans="5:5" x14ac:dyDescent="0.2">
      <c r="E750" s="26"/>
    </row>
    <row r="751" spans="5:5" x14ac:dyDescent="0.2">
      <c r="E751" s="26"/>
    </row>
    <row r="752" spans="5:5" x14ac:dyDescent="0.2">
      <c r="E752" s="26"/>
    </row>
    <row r="753" spans="5:5" x14ac:dyDescent="0.2">
      <c r="E753" s="26"/>
    </row>
    <row r="754" spans="5:5" x14ac:dyDescent="0.2">
      <c r="E754" s="26"/>
    </row>
    <row r="755" spans="5:5" x14ac:dyDescent="0.2">
      <c r="E755" s="26"/>
    </row>
    <row r="756" spans="5:5" x14ac:dyDescent="0.2">
      <c r="E756" s="26"/>
    </row>
    <row r="757" spans="5:5" x14ac:dyDescent="0.2">
      <c r="E757" s="26"/>
    </row>
    <row r="758" spans="5:5" x14ac:dyDescent="0.2">
      <c r="E758" s="26"/>
    </row>
    <row r="759" spans="5:5" x14ac:dyDescent="0.2">
      <c r="E759" s="26"/>
    </row>
    <row r="760" spans="5:5" x14ac:dyDescent="0.2">
      <c r="E760" s="26"/>
    </row>
    <row r="761" spans="5:5" x14ac:dyDescent="0.2">
      <c r="E761" s="26"/>
    </row>
    <row r="762" spans="5:5" x14ac:dyDescent="0.2">
      <c r="E762" s="26"/>
    </row>
    <row r="763" spans="5:5" x14ac:dyDescent="0.2">
      <c r="E763" s="26"/>
    </row>
    <row r="764" spans="5:5" x14ac:dyDescent="0.2">
      <c r="E764" s="26"/>
    </row>
    <row r="765" spans="5:5" x14ac:dyDescent="0.2">
      <c r="E765" s="26"/>
    </row>
    <row r="766" spans="5:5" x14ac:dyDescent="0.2">
      <c r="E766" s="26"/>
    </row>
    <row r="767" spans="5:5" x14ac:dyDescent="0.2">
      <c r="E767" s="26"/>
    </row>
    <row r="768" spans="5:5" x14ac:dyDescent="0.2">
      <c r="E768" s="26"/>
    </row>
    <row r="769" spans="5:5" x14ac:dyDescent="0.2">
      <c r="E769" s="26"/>
    </row>
    <row r="770" spans="5:5" x14ac:dyDescent="0.2">
      <c r="E770" s="26"/>
    </row>
    <row r="771" spans="5:5" x14ac:dyDescent="0.2">
      <c r="E771" s="26"/>
    </row>
    <row r="772" spans="5:5" x14ac:dyDescent="0.2">
      <c r="E772" s="26"/>
    </row>
    <row r="773" spans="5:5" x14ac:dyDescent="0.2">
      <c r="E773" s="26"/>
    </row>
    <row r="774" spans="5:5" x14ac:dyDescent="0.2">
      <c r="E774" s="26"/>
    </row>
    <row r="775" spans="5:5" x14ac:dyDescent="0.2">
      <c r="E775" s="26"/>
    </row>
    <row r="776" spans="5:5" x14ac:dyDescent="0.2">
      <c r="E776" s="26"/>
    </row>
    <row r="777" spans="5:5" x14ac:dyDescent="0.2">
      <c r="E777" s="26"/>
    </row>
    <row r="778" spans="5:5" x14ac:dyDescent="0.2">
      <c r="E778" s="26"/>
    </row>
    <row r="779" spans="5:5" x14ac:dyDescent="0.2">
      <c r="E779" s="26"/>
    </row>
    <row r="780" spans="5:5" x14ac:dyDescent="0.2">
      <c r="E780" s="26"/>
    </row>
    <row r="781" spans="5:5" x14ac:dyDescent="0.2">
      <c r="E781" s="26"/>
    </row>
    <row r="782" spans="5:5" x14ac:dyDescent="0.2">
      <c r="E782" s="26"/>
    </row>
    <row r="783" spans="5:5" x14ac:dyDescent="0.2">
      <c r="E783" s="26"/>
    </row>
    <row r="784" spans="5:5" x14ac:dyDescent="0.2">
      <c r="E784" s="26"/>
    </row>
    <row r="785" spans="5:5" x14ac:dyDescent="0.2">
      <c r="E785" s="26"/>
    </row>
    <row r="786" spans="5:5" x14ac:dyDescent="0.2">
      <c r="E786" s="26"/>
    </row>
    <row r="787" spans="5:5" x14ac:dyDescent="0.2">
      <c r="E787" s="26"/>
    </row>
    <row r="788" spans="5:5" x14ac:dyDescent="0.2">
      <c r="E788" s="26"/>
    </row>
    <row r="789" spans="5:5" x14ac:dyDescent="0.2">
      <c r="E789" s="26"/>
    </row>
    <row r="790" spans="5:5" x14ac:dyDescent="0.2">
      <c r="E790" s="26"/>
    </row>
    <row r="791" spans="5:5" x14ac:dyDescent="0.2">
      <c r="E791" s="26"/>
    </row>
    <row r="792" spans="5:5" x14ac:dyDescent="0.2">
      <c r="E792" s="26"/>
    </row>
    <row r="793" spans="5:5" x14ac:dyDescent="0.2">
      <c r="E793" s="26"/>
    </row>
    <row r="794" spans="5:5" x14ac:dyDescent="0.2">
      <c r="E794" s="26"/>
    </row>
    <row r="795" spans="5:5" x14ac:dyDescent="0.2">
      <c r="E795" s="26"/>
    </row>
    <row r="796" spans="5:5" x14ac:dyDescent="0.2">
      <c r="E796" s="26"/>
    </row>
    <row r="797" spans="5:5" x14ac:dyDescent="0.2">
      <c r="E797" s="26"/>
    </row>
    <row r="798" spans="5:5" x14ac:dyDescent="0.2">
      <c r="E798" s="26"/>
    </row>
    <row r="799" spans="5:5" x14ac:dyDescent="0.2">
      <c r="E799" s="26"/>
    </row>
    <row r="800" spans="5:5" x14ac:dyDescent="0.2">
      <c r="E800" s="26"/>
    </row>
    <row r="801" spans="5:5" x14ac:dyDescent="0.2">
      <c r="E801" s="26"/>
    </row>
    <row r="802" spans="5:5" x14ac:dyDescent="0.2">
      <c r="E802" s="26"/>
    </row>
    <row r="803" spans="5:5" x14ac:dyDescent="0.2">
      <c r="E803" s="26"/>
    </row>
    <row r="804" spans="5:5" x14ac:dyDescent="0.2">
      <c r="E804" s="26"/>
    </row>
    <row r="805" spans="5:5" x14ac:dyDescent="0.2">
      <c r="E805" s="26"/>
    </row>
    <row r="806" spans="5:5" x14ac:dyDescent="0.2">
      <c r="E806" s="26"/>
    </row>
    <row r="807" spans="5:5" x14ac:dyDescent="0.2">
      <c r="E807" s="26"/>
    </row>
    <row r="808" spans="5:5" x14ac:dyDescent="0.2">
      <c r="E808" s="26"/>
    </row>
    <row r="809" spans="5:5" x14ac:dyDescent="0.2">
      <c r="E809" s="26"/>
    </row>
    <row r="810" spans="5:5" x14ac:dyDescent="0.2">
      <c r="E810" s="26"/>
    </row>
    <row r="811" spans="5:5" x14ac:dyDescent="0.2">
      <c r="E811" s="26"/>
    </row>
    <row r="812" spans="5:5" x14ac:dyDescent="0.2">
      <c r="E812" s="26"/>
    </row>
    <row r="813" spans="5:5" x14ac:dyDescent="0.2">
      <c r="E813" s="26"/>
    </row>
    <row r="814" spans="5:5" x14ac:dyDescent="0.2">
      <c r="E814" s="26"/>
    </row>
    <row r="815" spans="5:5" x14ac:dyDescent="0.2">
      <c r="E815" s="26"/>
    </row>
    <row r="816" spans="5:5" x14ac:dyDescent="0.2">
      <c r="E816" s="26"/>
    </row>
    <row r="817" spans="5:5" x14ac:dyDescent="0.2">
      <c r="E817" s="26"/>
    </row>
    <row r="818" spans="5:5" x14ac:dyDescent="0.2">
      <c r="E818" s="26"/>
    </row>
    <row r="819" spans="5:5" x14ac:dyDescent="0.2">
      <c r="E819" s="26"/>
    </row>
    <row r="820" spans="5:5" x14ac:dyDescent="0.2">
      <c r="E820" s="26"/>
    </row>
    <row r="821" spans="5:5" x14ac:dyDescent="0.2">
      <c r="E821" s="26"/>
    </row>
    <row r="822" spans="5:5" x14ac:dyDescent="0.2">
      <c r="E822" s="26"/>
    </row>
    <row r="823" spans="5:5" x14ac:dyDescent="0.2">
      <c r="E823" s="26"/>
    </row>
    <row r="824" spans="5:5" x14ac:dyDescent="0.2">
      <c r="E824" s="26"/>
    </row>
    <row r="825" spans="5:5" x14ac:dyDescent="0.2">
      <c r="E825" s="26"/>
    </row>
    <row r="826" spans="5:5" x14ac:dyDescent="0.2">
      <c r="E826" s="26"/>
    </row>
    <row r="827" spans="5:5" x14ac:dyDescent="0.2">
      <c r="E827" s="26"/>
    </row>
    <row r="828" spans="5:5" x14ac:dyDescent="0.2">
      <c r="E828" s="26"/>
    </row>
    <row r="829" spans="5:5" x14ac:dyDescent="0.2">
      <c r="E829" s="26"/>
    </row>
    <row r="830" spans="5:5" x14ac:dyDescent="0.2">
      <c r="E830" s="26"/>
    </row>
    <row r="831" spans="5:5" x14ac:dyDescent="0.2">
      <c r="E831" s="26"/>
    </row>
    <row r="832" spans="5:5" x14ac:dyDescent="0.2">
      <c r="E832" s="26"/>
    </row>
    <row r="833" spans="5:5" x14ac:dyDescent="0.2">
      <c r="E833" s="26"/>
    </row>
    <row r="834" spans="5:5" x14ac:dyDescent="0.2">
      <c r="E834" s="26"/>
    </row>
    <row r="835" spans="5:5" x14ac:dyDescent="0.2">
      <c r="E835" s="26"/>
    </row>
    <row r="836" spans="5:5" x14ac:dyDescent="0.2">
      <c r="E836" s="26"/>
    </row>
    <row r="837" spans="5:5" x14ac:dyDescent="0.2">
      <c r="E837" s="26"/>
    </row>
    <row r="838" spans="5:5" x14ac:dyDescent="0.2">
      <c r="E838" s="26"/>
    </row>
    <row r="839" spans="5:5" x14ac:dyDescent="0.2">
      <c r="E839" s="26"/>
    </row>
    <row r="840" spans="5:5" x14ac:dyDescent="0.2">
      <c r="E840" s="26"/>
    </row>
    <row r="841" spans="5:5" x14ac:dyDescent="0.2">
      <c r="E841" s="26"/>
    </row>
    <row r="842" spans="5:5" x14ac:dyDescent="0.2">
      <c r="E842" s="26"/>
    </row>
    <row r="843" spans="5:5" x14ac:dyDescent="0.2">
      <c r="E843" s="26"/>
    </row>
    <row r="844" spans="5:5" x14ac:dyDescent="0.2">
      <c r="E844" s="26"/>
    </row>
    <row r="845" spans="5:5" x14ac:dyDescent="0.2">
      <c r="E845" s="26"/>
    </row>
    <row r="846" spans="5:5" x14ac:dyDescent="0.2">
      <c r="E846" s="26"/>
    </row>
    <row r="847" spans="5:5" x14ac:dyDescent="0.2">
      <c r="E847" s="26"/>
    </row>
    <row r="848" spans="5:5" x14ac:dyDescent="0.2">
      <c r="E848" s="26"/>
    </row>
    <row r="849" spans="5:5" x14ac:dyDescent="0.2">
      <c r="E849" s="26"/>
    </row>
    <row r="850" spans="5:5" x14ac:dyDescent="0.2">
      <c r="E850" s="26"/>
    </row>
    <row r="851" spans="5:5" x14ac:dyDescent="0.2">
      <c r="E851" s="26"/>
    </row>
    <row r="852" spans="5:5" x14ac:dyDescent="0.2">
      <c r="E852" s="26"/>
    </row>
    <row r="853" spans="5:5" x14ac:dyDescent="0.2">
      <c r="E853" s="26"/>
    </row>
    <row r="854" spans="5:5" x14ac:dyDescent="0.2">
      <c r="E854" s="26"/>
    </row>
    <row r="855" spans="5:5" x14ac:dyDescent="0.2">
      <c r="E855" s="26"/>
    </row>
    <row r="856" spans="5:5" x14ac:dyDescent="0.2">
      <c r="E856" s="26"/>
    </row>
    <row r="857" spans="5:5" x14ac:dyDescent="0.2">
      <c r="E857" s="26"/>
    </row>
    <row r="858" spans="5:5" x14ac:dyDescent="0.2">
      <c r="E858" s="26"/>
    </row>
    <row r="859" spans="5:5" x14ac:dyDescent="0.2">
      <c r="E859" s="26"/>
    </row>
    <row r="860" spans="5:5" x14ac:dyDescent="0.2">
      <c r="E860" s="26"/>
    </row>
    <row r="861" spans="5:5" x14ac:dyDescent="0.2">
      <c r="E861" s="26"/>
    </row>
    <row r="862" spans="5:5" x14ac:dyDescent="0.2">
      <c r="E862" s="26"/>
    </row>
    <row r="863" spans="5:5" x14ac:dyDescent="0.2">
      <c r="E863" s="26"/>
    </row>
    <row r="864" spans="5:5" x14ac:dyDescent="0.2">
      <c r="E864" s="26"/>
    </row>
    <row r="865" spans="5:5" x14ac:dyDescent="0.2">
      <c r="E865" s="26"/>
    </row>
    <row r="866" spans="5:5" x14ac:dyDescent="0.2">
      <c r="E866" s="26"/>
    </row>
    <row r="867" spans="5:5" x14ac:dyDescent="0.2">
      <c r="E867" s="26"/>
    </row>
    <row r="868" spans="5:5" x14ac:dyDescent="0.2">
      <c r="E868" s="26"/>
    </row>
    <row r="869" spans="5:5" x14ac:dyDescent="0.2">
      <c r="E869" s="26"/>
    </row>
    <row r="870" spans="5:5" x14ac:dyDescent="0.2">
      <c r="E870" s="26"/>
    </row>
    <row r="871" spans="5:5" x14ac:dyDescent="0.2">
      <c r="E871" s="26"/>
    </row>
    <row r="872" spans="5:5" x14ac:dyDescent="0.2">
      <c r="E872" s="26"/>
    </row>
    <row r="873" spans="5:5" x14ac:dyDescent="0.2">
      <c r="E873" s="26"/>
    </row>
    <row r="874" spans="5:5" x14ac:dyDescent="0.2">
      <c r="E874" s="26"/>
    </row>
    <row r="875" spans="5:5" x14ac:dyDescent="0.2">
      <c r="E875" s="26"/>
    </row>
    <row r="876" spans="5:5" x14ac:dyDescent="0.2">
      <c r="E876" s="26"/>
    </row>
    <row r="877" spans="5:5" x14ac:dyDescent="0.2">
      <c r="E877" s="26"/>
    </row>
    <row r="878" spans="5:5" x14ac:dyDescent="0.2">
      <c r="E878" s="26"/>
    </row>
    <row r="879" spans="5:5" x14ac:dyDescent="0.2">
      <c r="E879" s="26"/>
    </row>
    <row r="880" spans="5:5" x14ac:dyDescent="0.2">
      <c r="E880" s="26"/>
    </row>
    <row r="881" spans="5:5" x14ac:dyDescent="0.2">
      <c r="E881" s="26"/>
    </row>
    <row r="882" spans="5:5" x14ac:dyDescent="0.2">
      <c r="E882" s="26"/>
    </row>
    <row r="883" spans="5:5" x14ac:dyDescent="0.2">
      <c r="E883" s="26"/>
    </row>
    <row r="884" spans="5:5" x14ac:dyDescent="0.2">
      <c r="E884" s="26"/>
    </row>
    <row r="885" spans="5:5" x14ac:dyDescent="0.2">
      <c r="E885" s="26"/>
    </row>
    <row r="886" spans="5:5" x14ac:dyDescent="0.2">
      <c r="E886" s="26"/>
    </row>
    <row r="887" spans="5:5" x14ac:dyDescent="0.2">
      <c r="E887" s="26"/>
    </row>
    <row r="888" spans="5:5" x14ac:dyDescent="0.2">
      <c r="E888" s="26"/>
    </row>
    <row r="889" spans="5:5" x14ac:dyDescent="0.2">
      <c r="E889" s="26"/>
    </row>
    <row r="890" spans="5:5" x14ac:dyDescent="0.2">
      <c r="E890" s="26"/>
    </row>
    <row r="891" spans="5:5" x14ac:dyDescent="0.2">
      <c r="E891" s="26"/>
    </row>
    <row r="892" spans="5:5" x14ac:dyDescent="0.2">
      <c r="E892" s="26"/>
    </row>
    <row r="893" spans="5:5" x14ac:dyDescent="0.2">
      <c r="E893" s="26"/>
    </row>
    <row r="894" spans="5:5" x14ac:dyDescent="0.2">
      <c r="E894" s="26"/>
    </row>
    <row r="895" spans="5:5" x14ac:dyDescent="0.2">
      <c r="E895" s="26"/>
    </row>
    <row r="896" spans="5:5" x14ac:dyDescent="0.2">
      <c r="E896" s="26"/>
    </row>
    <row r="897" spans="5:5" x14ac:dyDescent="0.2">
      <c r="E897" s="26"/>
    </row>
    <row r="898" spans="5:5" x14ac:dyDescent="0.2">
      <c r="E898" s="26"/>
    </row>
    <row r="899" spans="5:5" x14ac:dyDescent="0.2">
      <c r="E899" s="26"/>
    </row>
    <row r="900" spans="5:5" x14ac:dyDescent="0.2">
      <c r="E900" s="26"/>
    </row>
    <row r="901" spans="5:5" x14ac:dyDescent="0.2">
      <c r="E901" s="26"/>
    </row>
    <row r="902" spans="5:5" x14ac:dyDescent="0.2">
      <c r="E902" s="26"/>
    </row>
    <row r="903" spans="5:5" x14ac:dyDescent="0.2">
      <c r="E903" s="26"/>
    </row>
    <row r="904" spans="5:5" x14ac:dyDescent="0.2">
      <c r="E904" s="26"/>
    </row>
    <row r="905" spans="5:5" x14ac:dyDescent="0.2">
      <c r="E905" s="26"/>
    </row>
    <row r="906" spans="5:5" x14ac:dyDescent="0.2">
      <c r="E906" s="26"/>
    </row>
    <row r="907" spans="5:5" x14ac:dyDescent="0.2">
      <c r="E907" s="26"/>
    </row>
    <row r="908" spans="5:5" x14ac:dyDescent="0.2">
      <c r="E908" s="26"/>
    </row>
    <row r="909" spans="5:5" x14ac:dyDescent="0.2">
      <c r="E909" s="26"/>
    </row>
    <row r="910" spans="5:5" x14ac:dyDescent="0.2">
      <c r="E910" s="26"/>
    </row>
    <row r="911" spans="5:5" x14ac:dyDescent="0.2">
      <c r="E911" s="26"/>
    </row>
    <row r="912" spans="5:5" x14ac:dyDescent="0.2">
      <c r="E912" s="26"/>
    </row>
    <row r="913" spans="5:5" x14ac:dyDescent="0.2">
      <c r="E913" s="26"/>
    </row>
    <row r="914" spans="5:5" x14ac:dyDescent="0.2">
      <c r="E914" s="26"/>
    </row>
    <row r="915" spans="5:5" x14ac:dyDescent="0.2">
      <c r="E915" s="26"/>
    </row>
    <row r="916" spans="5:5" x14ac:dyDescent="0.2">
      <c r="E916" s="26"/>
    </row>
    <row r="917" spans="5:5" x14ac:dyDescent="0.2">
      <c r="E917" s="26"/>
    </row>
    <row r="918" spans="5:5" x14ac:dyDescent="0.2">
      <c r="E918" s="26"/>
    </row>
    <row r="919" spans="5:5" x14ac:dyDescent="0.2">
      <c r="E919" s="26"/>
    </row>
    <row r="920" spans="5:5" x14ac:dyDescent="0.2">
      <c r="E920" s="26"/>
    </row>
    <row r="921" spans="5:5" x14ac:dyDescent="0.2">
      <c r="E921" s="26"/>
    </row>
    <row r="922" spans="5:5" x14ac:dyDescent="0.2">
      <c r="E922" s="26"/>
    </row>
    <row r="923" spans="5:5" x14ac:dyDescent="0.2">
      <c r="E923" s="26"/>
    </row>
    <row r="924" spans="5:5" x14ac:dyDescent="0.2">
      <c r="E924" s="26"/>
    </row>
    <row r="925" spans="5:5" x14ac:dyDescent="0.2">
      <c r="E925" s="26"/>
    </row>
    <row r="926" spans="5:5" x14ac:dyDescent="0.2">
      <c r="E926" s="26"/>
    </row>
    <row r="927" spans="5:5" x14ac:dyDescent="0.2">
      <c r="E927" s="26"/>
    </row>
    <row r="928" spans="5:5" x14ac:dyDescent="0.2">
      <c r="E928" s="26"/>
    </row>
    <row r="929" spans="5:5" x14ac:dyDescent="0.2">
      <c r="E929" s="26"/>
    </row>
    <row r="930" spans="5:5" x14ac:dyDescent="0.2">
      <c r="E930" s="26"/>
    </row>
    <row r="931" spans="5:5" x14ac:dyDescent="0.2">
      <c r="E931" s="26"/>
    </row>
    <row r="932" spans="5:5" x14ac:dyDescent="0.2">
      <c r="E932" s="26"/>
    </row>
    <row r="933" spans="5:5" x14ac:dyDescent="0.2">
      <c r="E933" s="26"/>
    </row>
    <row r="934" spans="5:5" x14ac:dyDescent="0.2">
      <c r="E934" s="26"/>
    </row>
    <row r="935" spans="5:5" x14ac:dyDescent="0.2">
      <c r="E935" s="26"/>
    </row>
    <row r="936" spans="5:5" x14ac:dyDescent="0.2">
      <c r="E936" s="26"/>
    </row>
    <row r="937" spans="5:5" x14ac:dyDescent="0.2">
      <c r="E937" s="26"/>
    </row>
    <row r="938" spans="5:5" x14ac:dyDescent="0.2">
      <c r="E938" s="26"/>
    </row>
    <row r="939" spans="5:5" x14ac:dyDescent="0.2">
      <c r="E939" s="26"/>
    </row>
    <row r="940" spans="5:5" x14ac:dyDescent="0.2">
      <c r="E940" s="26"/>
    </row>
    <row r="941" spans="5:5" x14ac:dyDescent="0.2">
      <c r="E941" s="26"/>
    </row>
    <row r="942" spans="5:5" x14ac:dyDescent="0.2">
      <c r="E942" s="26"/>
    </row>
    <row r="943" spans="5:5" x14ac:dyDescent="0.2">
      <c r="E943" s="26"/>
    </row>
    <row r="944" spans="5:5" x14ac:dyDescent="0.2">
      <c r="E944" s="26"/>
    </row>
    <row r="945" spans="5:5" x14ac:dyDescent="0.2">
      <c r="E945" s="26"/>
    </row>
    <row r="946" spans="5:5" x14ac:dyDescent="0.2">
      <c r="E946" s="26"/>
    </row>
    <row r="947" spans="5:5" x14ac:dyDescent="0.2">
      <c r="E947" s="26"/>
    </row>
    <row r="948" spans="5:5" x14ac:dyDescent="0.2">
      <c r="E948" s="26"/>
    </row>
    <row r="949" spans="5:5" x14ac:dyDescent="0.2">
      <c r="E949" s="26"/>
    </row>
    <row r="950" spans="5:5" x14ac:dyDescent="0.2">
      <c r="E950" s="26"/>
    </row>
    <row r="951" spans="5:5" x14ac:dyDescent="0.2">
      <c r="E951" s="26"/>
    </row>
    <row r="952" spans="5:5" x14ac:dyDescent="0.2">
      <c r="E952" s="26"/>
    </row>
    <row r="953" spans="5:5" x14ac:dyDescent="0.2">
      <c r="E953" s="26"/>
    </row>
    <row r="954" spans="5:5" x14ac:dyDescent="0.2">
      <c r="E954" s="26"/>
    </row>
    <row r="955" spans="5:5" x14ac:dyDescent="0.2">
      <c r="E955" s="26"/>
    </row>
    <row r="956" spans="5:5" x14ac:dyDescent="0.2">
      <c r="E956" s="26"/>
    </row>
    <row r="957" spans="5:5" x14ac:dyDescent="0.2">
      <c r="E957" s="26"/>
    </row>
    <row r="958" spans="5:5" x14ac:dyDescent="0.2">
      <c r="E958" s="26"/>
    </row>
    <row r="959" spans="5:5" x14ac:dyDescent="0.2">
      <c r="E959" s="26"/>
    </row>
    <row r="960" spans="5:5" x14ac:dyDescent="0.2">
      <c r="E960" s="26"/>
    </row>
    <row r="961" spans="5:5" x14ac:dyDescent="0.2">
      <c r="E961" s="26"/>
    </row>
    <row r="962" spans="5:5" x14ac:dyDescent="0.2">
      <c r="E962" s="26"/>
    </row>
    <row r="963" spans="5:5" x14ac:dyDescent="0.2">
      <c r="E963" s="26"/>
    </row>
    <row r="964" spans="5:5" x14ac:dyDescent="0.2">
      <c r="E964" s="26"/>
    </row>
    <row r="965" spans="5:5" x14ac:dyDescent="0.2">
      <c r="E965" s="26"/>
    </row>
    <row r="966" spans="5:5" x14ac:dyDescent="0.2">
      <c r="E966" s="26"/>
    </row>
    <row r="967" spans="5:5" x14ac:dyDescent="0.2">
      <c r="E967" s="26"/>
    </row>
    <row r="968" spans="5:5" x14ac:dyDescent="0.2">
      <c r="E968" s="26"/>
    </row>
    <row r="969" spans="5:5" x14ac:dyDescent="0.2">
      <c r="E969" s="26"/>
    </row>
    <row r="970" spans="5:5" x14ac:dyDescent="0.2">
      <c r="E970" s="26"/>
    </row>
    <row r="971" spans="5:5" x14ac:dyDescent="0.2">
      <c r="E971" s="26"/>
    </row>
    <row r="972" spans="5:5" x14ac:dyDescent="0.2">
      <c r="E972" s="26"/>
    </row>
    <row r="973" spans="5:5" x14ac:dyDescent="0.2">
      <c r="E973" s="26"/>
    </row>
    <row r="974" spans="5:5" x14ac:dyDescent="0.2">
      <c r="E974" s="26"/>
    </row>
    <row r="975" spans="5:5" x14ac:dyDescent="0.2">
      <c r="E975" s="26"/>
    </row>
    <row r="976" spans="5:5" x14ac:dyDescent="0.2">
      <c r="E976" s="26"/>
    </row>
    <row r="977" spans="5:5" x14ac:dyDescent="0.2">
      <c r="E977" s="26"/>
    </row>
    <row r="978" spans="5:5" x14ac:dyDescent="0.2">
      <c r="E978" s="26"/>
    </row>
    <row r="979" spans="5:5" x14ac:dyDescent="0.2">
      <c r="E979" s="26"/>
    </row>
    <row r="980" spans="5:5" x14ac:dyDescent="0.2">
      <c r="E980" s="26"/>
    </row>
    <row r="981" spans="5:5" x14ac:dyDescent="0.2">
      <c r="E981" s="26"/>
    </row>
    <row r="982" spans="5:5" x14ac:dyDescent="0.2">
      <c r="E982" s="26"/>
    </row>
    <row r="983" spans="5:5" x14ac:dyDescent="0.2">
      <c r="E983" s="26"/>
    </row>
    <row r="984" spans="5:5" x14ac:dyDescent="0.2">
      <c r="E984" s="26"/>
    </row>
    <row r="985" spans="5:5" x14ac:dyDescent="0.2">
      <c r="E985" s="26"/>
    </row>
    <row r="986" spans="5:5" x14ac:dyDescent="0.2">
      <c r="E986" s="26"/>
    </row>
    <row r="987" spans="5:5" x14ac:dyDescent="0.2">
      <c r="E987" s="26"/>
    </row>
    <row r="988" spans="5:5" x14ac:dyDescent="0.2">
      <c r="E988" s="26"/>
    </row>
    <row r="989" spans="5:5" x14ac:dyDescent="0.2">
      <c r="E989" s="26"/>
    </row>
    <row r="990" spans="5:5" x14ac:dyDescent="0.2">
      <c r="E990" s="26"/>
    </row>
    <row r="991" spans="5:5" x14ac:dyDescent="0.2">
      <c r="E991" s="26"/>
    </row>
    <row r="992" spans="5:5" x14ac:dyDescent="0.2">
      <c r="E992" s="26"/>
    </row>
    <row r="993" spans="5:5" x14ac:dyDescent="0.2">
      <c r="E993" s="26"/>
    </row>
    <row r="994" spans="5:5" x14ac:dyDescent="0.2">
      <c r="E994" s="26"/>
    </row>
    <row r="995" spans="5:5" x14ac:dyDescent="0.2">
      <c r="E995" s="26"/>
    </row>
    <row r="996" spans="5:5" x14ac:dyDescent="0.2">
      <c r="E996" s="26"/>
    </row>
    <row r="997" spans="5:5" x14ac:dyDescent="0.2">
      <c r="E997" s="26"/>
    </row>
    <row r="998" spans="5:5" x14ac:dyDescent="0.2">
      <c r="E998" s="26"/>
    </row>
    <row r="999" spans="5:5" x14ac:dyDescent="0.2">
      <c r="E999" s="26"/>
    </row>
    <row r="1000" spans="5:5" x14ac:dyDescent="0.2">
      <c r="E1000" s="26"/>
    </row>
    <row r="1001" spans="5:5" x14ac:dyDescent="0.2">
      <c r="E1001" s="26"/>
    </row>
    <row r="1002" spans="5:5" x14ac:dyDescent="0.2">
      <c r="E1002" s="26"/>
    </row>
    <row r="1003" spans="5:5" x14ac:dyDescent="0.2">
      <c r="E1003" s="26"/>
    </row>
    <row r="1004" spans="5:5" x14ac:dyDescent="0.2">
      <c r="E1004" s="26"/>
    </row>
    <row r="1005" spans="5:5" x14ac:dyDescent="0.2">
      <c r="E1005" s="26"/>
    </row>
    <row r="1006" spans="5:5" x14ac:dyDescent="0.2">
      <c r="E1006" s="26"/>
    </row>
    <row r="1007" spans="5:5" x14ac:dyDescent="0.2">
      <c r="E1007" s="26"/>
    </row>
    <row r="1008" spans="5:5" x14ac:dyDescent="0.2">
      <c r="E1008" s="26"/>
    </row>
    <row r="1009" spans="5:5" x14ac:dyDescent="0.2">
      <c r="E1009" s="26"/>
    </row>
    <row r="1010" spans="5:5" x14ac:dyDescent="0.2">
      <c r="E1010" s="26"/>
    </row>
    <row r="1011" spans="5:5" x14ac:dyDescent="0.2">
      <c r="E1011" s="26"/>
    </row>
    <row r="1012" spans="5:5" x14ac:dyDescent="0.2">
      <c r="E1012" s="26"/>
    </row>
    <row r="1013" spans="5:5" x14ac:dyDescent="0.2">
      <c r="E1013" s="26"/>
    </row>
    <row r="1014" spans="5:5" x14ac:dyDescent="0.2">
      <c r="E1014" s="26"/>
    </row>
    <row r="1015" spans="5:5" x14ac:dyDescent="0.2">
      <c r="E1015" s="26"/>
    </row>
    <row r="1016" spans="5:5" x14ac:dyDescent="0.2">
      <c r="E1016" s="26"/>
    </row>
    <row r="1017" spans="5:5" x14ac:dyDescent="0.2">
      <c r="E1017" s="26"/>
    </row>
    <row r="1018" spans="5:5" x14ac:dyDescent="0.2">
      <c r="E1018" s="26"/>
    </row>
    <row r="1019" spans="5:5" x14ac:dyDescent="0.2">
      <c r="E1019" s="26"/>
    </row>
    <row r="1020" spans="5:5" x14ac:dyDescent="0.2">
      <c r="E1020" s="26"/>
    </row>
    <row r="1021" spans="5:5" x14ac:dyDescent="0.2">
      <c r="E1021" s="26"/>
    </row>
    <row r="1022" spans="5:5" x14ac:dyDescent="0.2">
      <c r="E1022" s="26"/>
    </row>
    <row r="1023" spans="5:5" x14ac:dyDescent="0.2">
      <c r="E1023" s="26"/>
    </row>
    <row r="1024" spans="5:5" x14ac:dyDescent="0.2">
      <c r="E1024" s="26"/>
    </row>
    <row r="1025" spans="5:5" x14ac:dyDescent="0.2">
      <c r="E1025" s="26"/>
    </row>
    <row r="1026" spans="5:5" x14ac:dyDescent="0.2">
      <c r="E1026" s="26"/>
    </row>
    <row r="1027" spans="5:5" x14ac:dyDescent="0.2">
      <c r="E1027" s="26"/>
    </row>
    <row r="1028" spans="5:5" x14ac:dyDescent="0.2">
      <c r="E1028" s="26"/>
    </row>
    <row r="1029" spans="5:5" x14ac:dyDescent="0.2">
      <c r="E1029" s="26"/>
    </row>
    <row r="1030" spans="5:5" x14ac:dyDescent="0.2">
      <c r="E1030" s="26"/>
    </row>
    <row r="1031" spans="5:5" x14ac:dyDescent="0.2">
      <c r="E1031" s="26"/>
    </row>
    <row r="1032" spans="5:5" x14ac:dyDescent="0.2">
      <c r="E1032" s="26"/>
    </row>
    <row r="1033" spans="5:5" x14ac:dyDescent="0.2">
      <c r="E1033" s="26"/>
    </row>
    <row r="1034" spans="5:5" x14ac:dyDescent="0.2">
      <c r="E1034" s="26"/>
    </row>
    <row r="1035" spans="5:5" x14ac:dyDescent="0.2">
      <c r="E1035" s="26"/>
    </row>
    <row r="1036" spans="5:5" x14ac:dyDescent="0.2">
      <c r="E1036" s="26"/>
    </row>
    <row r="1037" spans="5:5" x14ac:dyDescent="0.2">
      <c r="E1037" s="26"/>
    </row>
    <row r="1038" spans="5:5" x14ac:dyDescent="0.2">
      <c r="E1038" s="26"/>
    </row>
    <row r="1039" spans="5:5" x14ac:dyDescent="0.2">
      <c r="E1039" s="26"/>
    </row>
    <row r="1040" spans="5:5" x14ac:dyDescent="0.2">
      <c r="E1040" s="26"/>
    </row>
    <row r="1041" spans="5:5" x14ac:dyDescent="0.2">
      <c r="E1041" s="26"/>
    </row>
    <row r="1042" spans="5:5" x14ac:dyDescent="0.2">
      <c r="E1042" s="26"/>
    </row>
    <row r="1043" spans="5:5" x14ac:dyDescent="0.2">
      <c r="E1043" s="26"/>
    </row>
    <row r="1044" spans="5:5" x14ac:dyDescent="0.2">
      <c r="E1044" s="26"/>
    </row>
    <row r="1045" spans="5:5" x14ac:dyDescent="0.2">
      <c r="E1045" s="26"/>
    </row>
    <row r="1046" spans="5:5" x14ac:dyDescent="0.2">
      <c r="E1046" s="26"/>
    </row>
    <row r="1047" spans="5:5" x14ac:dyDescent="0.2">
      <c r="E1047" s="26"/>
    </row>
    <row r="1048" spans="5:5" x14ac:dyDescent="0.2">
      <c r="E1048" s="26"/>
    </row>
    <row r="1049" spans="5:5" x14ac:dyDescent="0.2">
      <c r="E1049" s="26"/>
    </row>
    <row r="1050" spans="5:5" x14ac:dyDescent="0.2">
      <c r="E1050" s="26"/>
    </row>
    <row r="1051" spans="5:5" x14ac:dyDescent="0.2">
      <c r="E1051" s="26"/>
    </row>
    <row r="1052" spans="5:5" x14ac:dyDescent="0.2">
      <c r="E1052" s="26"/>
    </row>
    <row r="1053" spans="5:5" x14ac:dyDescent="0.2">
      <c r="E1053" s="26"/>
    </row>
    <row r="1054" spans="5:5" x14ac:dyDescent="0.2">
      <c r="E1054" s="26"/>
    </row>
    <row r="1055" spans="5:5" x14ac:dyDescent="0.2">
      <c r="E1055" s="26"/>
    </row>
    <row r="1056" spans="5:5" x14ac:dyDescent="0.2">
      <c r="E1056" s="26"/>
    </row>
    <row r="1057" spans="5:5" x14ac:dyDescent="0.2">
      <c r="E1057" s="26"/>
    </row>
    <row r="1058" spans="5:5" x14ac:dyDescent="0.2">
      <c r="E1058" s="26"/>
    </row>
    <row r="1059" spans="5:5" x14ac:dyDescent="0.2">
      <c r="E1059" s="26"/>
    </row>
    <row r="1060" spans="5:5" x14ac:dyDescent="0.2">
      <c r="E1060" s="26"/>
    </row>
    <row r="1061" spans="5:5" x14ac:dyDescent="0.2">
      <c r="E1061" s="26"/>
    </row>
    <row r="1062" spans="5:5" x14ac:dyDescent="0.2">
      <c r="E1062" s="26"/>
    </row>
    <row r="1063" spans="5:5" x14ac:dyDescent="0.2">
      <c r="E1063" s="26"/>
    </row>
    <row r="1064" spans="5:5" x14ac:dyDescent="0.2">
      <c r="E1064" s="26"/>
    </row>
    <row r="1065" spans="5:5" x14ac:dyDescent="0.2">
      <c r="E1065" s="26"/>
    </row>
    <row r="1066" spans="5:5" x14ac:dyDescent="0.2">
      <c r="E1066" s="26"/>
    </row>
    <row r="1067" spans="5:5" x14ac:dyDescent="0.2">
      <c r="E1067" s="26"/>
    </row>
    <row r="1068" spans="5:5" x14ac:dyDescent="0.2">
      <c r="E1068" s="26"/>
    </row>
    <row r="1069" spans="5:5" x14ac:dyDescent="0.2">
      <c r="E1069" s="26"/>
    </row>
    <row r="1070" spans="5:5" x14ac:dyDescent="0.2">
      <c r="E1070" s="26"/>
    </row>
    <row r="1071" spans="5:5" x14ac:dyDescent="0.2">
      <c r="E1071" s="26"/>
    </row>
    <row r="1072" spans="5:5" x14ac:dyDescent="0.2">
      <c r="E1072" s="26"/>
    </row>
    <row r="1073" spans="5:5" x14ac:dyDescent="0.2">
      <c r="E1073" s="26"/>
    </row>
    <row r="1074" spans="5:5" x14ac:dyDescent="0.2">
      <c r="E1074" s="26"/>
    </row>
    <row r="1075" spans="5:5" x14ac:dyDescent="0.2">
      <c r="E1075" s="26"/>
    </row>
    <row r="1076" spans="5:5" x14ac:dyDescent="0.2">
      <c r="E1076" s="26"/>
    </row>
    <row r="1077" spans="5:5" x14ac:dyDescent="0.2">
      <c r="E1077" s="26"/>
    </row>
    <row r="1078" spans="5:5" x14ac:dyDescent="0.2">
      <c r="E1078" s="26"/>
    </row>
    <row r="1079" spans="5:5" x14ac:dyDescent="0.2">
      <c r="E1079" s="26"/>
    </row>
    <row r="1080" spans="5:5" x14ac:dyDescent="0.2">
      <c r="E1080" s="26"/>
    </row>
    <row r="1081" spans="5:5" x14ac:dyDescent="0.2">
      <c r="E1081" s="26"/>
    </row>
    <row r="1082" spans="5:5" x14ac:dyDescent="0.2">
      <c r="E1082" s="26"/>
    </row>
    <row r="1083" spans="5:5" x14ac:dyDescent="0.2">
      <c r="E1083" s="26"/>
    </row>
    <row r="1084" spans="5:5" x14ac:dyDescent="0.2">
      <c r="E1084" s="26"/>
    </row>
    <row r="1085" spans="5:5" x14ac:dyDescent="0.2">
      <c r="E1085" s="26"/>
    </row>
    <row r="1086" spans="5:5" x14ac:dyDescent="0.2">
      <c r="E1086" s="26"/>
    </row>
    <row r="1087" spans="5:5" x14ac:dyDescent="0.2">
      <c r="E1087" s="26"/>
    </row>
    <row r="1088" spans="5:5" x14ac:dyDescent="0.2">
      <c r="E1088" s="26"/>
    </row>
    <row r="1089" spans="5:5" x14ac:dyDescent="0.2">
      <c r="E1089" s="26"/>
    </row>
    <row r="1090" spans="5:5" x14ac:dyDescent="0.2">
      <c r="E1090" s="26"/>
    </row>
    <row r="1091" spans="5:5" x14ac:dyDescent="0.2">
      <c r="E1091" s="26"/>
    </row>
    <row r="1092" spans="5:5" x14ac:dyDescent="0.2">
      <c r="E1092" s="26"/>
    </row>
    <row r="1093" spans="5:5" x14ac:dyDescent="0.2">
      <c r="E1093" s="26"/>
    </row>
    <row r="1094" spans="5:5" x14ac:dyDescent="0.2">
      <c r="E1094" s="26"/>
    </row>
    <row r="1095" spans="5:5" x14ac:dyDescent="0.2">
      <c r="E1095" s="26"/>
    </row>
    <row r="1096" spans="5:5" x14ac:dyDescent="0.2">
      <c r="E1096" s="26"/>
    </row>
    <row r="1097" spans="5:5" x14ac:dyDescent="0.2">
      <c r="E1097" s="26"/>
    </row>
    <row r="1098" spans="5:5" x14ac:dyDescent="0.2">
      <c r="E1098" s="26"/>
    </row>
    <row r="1099" spans="5:5" x14ac:dyDescent="0.2">
      <c r="E1099" s="26"/>
    </row>
    <row r="1100" spans="5:5" x14ac:dyDescent="0.2">
      <c r="E1100" s="26"/>
    </row>
    <row r="1101" spans="5:5" x14ac:dyDescent="0.2">
      <c r="E1101" s="26"/>
    </row>
    <row r="1102" spans="5:5" x14ac:dyDescent="0.2">
      <c r="E1102" s="26"/>
    </row>
    <row r="1103" spans="5:5" x14ac:dyDescent="0.2">
      <c r="E1103" s="26"/>
    </row>
    <row r="1104" spans="5:5" x14ac:dyDescent="0.2">
      <c r="E1104" s="26"/>
    </row>
    <row r="1105" spans="5:5" x14ac:dyDescent="0.2">
      <c r="E1105" s="26"/>
    </row>
    <row r="1106" spans="5:5" x14ac:dyDescent="0.2">
      <c r="E1106" s="26"/>
    </row>
    <row r="1107" spans="5:5" x14ac:dyDescent="0.2">
      <c r="E1107" s="26"/>
    </row>
    <row r="1108" spans="5:5" x14ac:dyDescent="0.2">
      <c r="E1108" s="26"/>
    </row>
    <row r="1109" spans="5:5" x14ac:dyDescent="0.2">
      <c r="E1109" s="26"/>
    </row>
    <row r="1110" spans="5:5" x14ac:dyDescent="0.2">
      <c r="E1110" s="26"/>
    </row>
    <row r="1111" spans="5:5" x14ac:dyDescent="0.2">
      <c r="E1111" s="26"/>
    </row>
    <row r="1112" spans="5:5" x14ac:dyDescent="0.2">
      <c r="E1112" s="26"/>
    </row>
    <row r="1113" spans="5:5" x14ac:dyDescent="0.2">
      <c r="E1113" s="26"/>
    </row>
    <row r="1114" spans="5:5" x14ac:dyDescent="0.2">
      <c r="E1114" s="26"/>
    </row>
    <row r="1115" spans="5:5" x14ac:dyDescent="0.2">
      <c r="E1115" s="26"/>
    </row>
    <row r="1116" spans="5:5" x14ac:dyDescent="0.2">
      <c r="E1116" s="26"/>
    </row>
    <row r="1117" spans="5:5" x14ac:dyDescent="0.2">
      <c r="E1117" s="26"/>
    </row>
    <row r="1118" spans="5:5" x14ac:dyDescent="0.2">
      <c r="E1118" s="26"/>
    </row>
    <row r="1119" spans="5:5" x14ac:dyDescent="0.2">
      <c r="E1119" s="26"/>
    </row>
    <row r="1120" spans="5:5" x14ac:dyDescent="0.2">
      <c r="E1120" s="26"/>
    </row>
    <row r="1121" spans="5:5" x14ac:dyDescent="0.2">
      <c r="E1121" s="26"/>
    </row>
    <row r="1122" spans="5:5" x14ac:dyDescent="0.2">
      <c r="E1122" s="26"/>
    </row>
    <row r="1123" spans="5:5" x14ac:dyDescent="0.2">
      <c r="E1123" s="26"/>
    </row>
    <row r="1124" spans="5:5" x14ac:dyDescent="0.2">
      <c r="E1124" s="26"/>
    </row>
    <row r="1125" spans="5:5" x14ac:dyDescent="0.2">
      <c r="E1125" s="26"/>
    </row>
    <row r="1126" spans="5:5" x14ac:dyDescent="0.2">
      <c r="E1126" s="26"/>
    </row>
    <row r="1127" spans="5:5" x14ac:dyDescent="0.2">
      <c r="E1127" s="26"/>
    </row>
    <row r="1128" spans="5:5" x14ac:dyDescent="0.2">
      <c r="E1128" s="26"/>
    </row>
    <row r="1129" spans="5:5" x14ac:dyDescent="0.2">
      <c r="E1129" s="26"/>
    </row>
    <row r="1130" spans="5:5" x14ac:dyDescent="0.2">
      <c r="E1130" s="26"/>
    </row>
    <row r="1131" spans="5:5" x14ac:dyDescent="0.2">
      <c r="E1131" s="26"/>
    </row>
    <row r="1132" spans="5:5" x14ac:dyDescent="0.2">
      <c r="E1132" s="26"/>
    </row>
    <row r="1133" spans="5:5" x14ac:dyDescent="0.2">
      <c r="E1133" s="26"/>
    </row>
    <row r="1134" spans="5:5" x14ac:dyDescent="0.2">
      <c r="E1134" s="26"/>
    </row>
    <row r="1135" spans="5:5" x14ac:dyDescent="0.2">
      <c r="E1135" s="26"/>
    </row>
    <row r="1136" spans="5:5" x14ac:dyDescent="0.2">
      <c r="E1136" s="26"/>
    </row>
    <row r="1137" spans="5:5" x14ac:dyDescent="0.2">
      <c r="E1137" s="26"/>
    </row>
    <row r="1138" spans="5:5" x14ac:dyDescent="0.2">
      <c r="E1138" s="26"/>
    </row>
    <row r="1139" spans="5:5" x14ac:dyDescent="0.2">
      <c r="E1139" s="26"/>
    </row>
    <row r="1140" spans="5:5" x14ac:dyDescent="0.2">
      <c r="E1140" s="26"/>
    </row>
    <row r="1141" spans="5:5" x14ac:dyDescent="0.2">
      <c r="E1141" s="26"/>
    </row>
    <row r="1142" spans="5:5" x14ac:dyDescent="0.2">
      <c r="E1142" s="26"/>
    </row>
    <row r="1143" spans="5:5" x14ac:dyDescent="0.2">
      <c r="E1143" s="26"/>
    </row>
    <row r="1144" spans="5:5" x14ac:dyDescent="0.2">
      <c r="E1144" s="26"/>
    </row>
    <row r="1145" spans="5:5" x14ac:dyDescent="0.2">
      <c r="E1145" s="26"/>
    </row>
    <row r="1146" spans="5:5" x14ac:dyDescent="0.2">
      <c r="E1146" s="26"/>
    </row>
    <row r="1147" spans="5:5" x14ac:dyDescent="0.2">
      <c r="E1147" s="26"/>
    </row>
    <row r="1148" spans="5:5" x14ac:dyDescent="0.2">
      <c r="E1148" s="26"/>
    </row>
    <row r="1149" spans="5:5" x14ac:dyDescent="0.2">
      <c r="E1149" s="26"/>
    </row>
    <row r="1150" spans="5:5" x14ac:dyDescent="0.2">
      <c r="E1150" s="26"/>
    </row>
    <row r="1151" spans="5:5" x14ac:dyDescent="0.2">
      <c r="E1151" s="26"/>
    </row>
    <row r="1152" spans="5:5" x14ac:dyDescent="0.2">
      <c r="E1152" s="26"/>
    </row>
    <row r="1153" spans="5:5" x14ac:dyDescent="0.2">
      <c r="E1153" s="26"/>
    </row>
    <row r="1154" spans="5:5" x14ac:dyDescent="0.2">
      <c r="E1154" s="26"/>
    </row>
    <row r="1155" spans="5:5" x14ac:dyDescent="0.2">
      <c r="E1155" s="26"/>
    </row>
    <row r="1156" spans="5:5" x14ac:dyDescent="0.2">
      <c r="E1156" s="26"/>
    </row>
    <row r="1157" spans="5:5" x14ac:dyDescent="0.2">
      <c r="E1157" s="26"/>
    </row>
    <row r="1158" spans="5:5" x14ac:dyDescent="0.2">
      <c r="E1158" s="26"/>
    </row>
    <row r="1159" spans="5:5" x14ac:dyDescent="0.2">
      <c r="E1159" s="26"/>
    </row>
    <row r="1160" spans="5:5" x14ac:dyDescent="0.2">
      <c r="E1160" s="26"/>
    </row>
    <row r="1161" spans="5:5" x14ac:dyDescent="0.2">
      <c r="E1161" s="26"/>
    </row>
    <row r="1162" spans="5:5" x14ac:dyDescent="0.2">
      <c r="E1162" s="26"/>
    </row>
    <row r="1163" spans="5:5" x14ac:dyDescent="0.2">
      <c r="E1163" s="26"/>
    </row>
    <row r="1164" spans="5:5" x14ac:dyDescent="0.2">
      <c r="E1164" s="26"/>
    </row>
    <row r="1165" spans="5:5" x14ac:dyDescent="0.2">
      <c r="E1165" s="26"/>
    </row>
    <row r="1166" spans="5:5" x14ac:dyDescent="0.2">
      <c r="E1166" s="26"/>
    </row>
    <row r="1167" spans="5:5" x14ac:dyDescent="0.2">
      <c r="E1167" s="26"/>
    </row>
    <row r="1168" spans="5:5" x14ac:dyDescent="0.2">
      <c r="E1168" s="26"/>
    </row>
    <row r="1169" spans="5:5" x14ac:dyDescent="0.2">
      <c r="E1169" s="26"/>
    </row>
    <row r="1170" spans="5:5" x14ac:dyDescent="0.2">
      <c r="E1170" s="26"/>
    </row>
    <row r="1171" spans="5:5" x14ac:dyDescent="0.2">
      <c r="E1171" s="26"/>
    </row>
    <row r="1172" spans="5:5" x14ac:dyDescent="0.2">
      <c r="E1172" s="26"/>
    </row>
    <row r="1173" spans="5:5" x14ac:dyDescent="0.2">
      <c r="E1173" s="26"/>
    </row>
    <row r="1174" spans="5:5" x14ac:dyDescent="0.2">
      <c r="E1174" s="26"/>
    </row>
    <row r="1175" spans="5:5" x14ac:dyDescent="0.2">
      <c r="E1175" s="26"/>
    </row>
    <row r="1176" spans="5:5" x14ac:dyDescent="0.2">
      <c r="E1176" s="26"/>
    </row>
    <row r="1177" spans="5:5" x14ac:dyDescent="0.2">
      <c r="E1177" s="26"/>
    </row>
    <row r="1178" spans="5:5" x14ac:dyDescent="0.2">
      <c r="E1178" s="26"/>
    </row>
    <row r="1179" spans="5:5" x14ac:dyDescent="0.2">
      <c r="E1179" s="26"/>
    </row>
    <row r="1180" spans="5:5" x14ac:dyDescent="0.2">
      <c r="E1180" s="26"/>
    </row>
    <row r="1181" spans="5:5" x14ac:dyDescent="0.2">
      <c r="E1181" s="26"/>
    </row>
    <row r="1182" spans="5:5" x14ac:dyDescent="0.2">
      <c r="E1182" s="26"/>
    </row>
    <row r="1183" spans="5:5" x14ac:dyDescent="0.2">
      <c r="E1183" s="26"/>
    </row>
    <row r="1184" spans="5:5" x14ac:dyDescent="0.2">
      <c r="E1184" s="26"/>
    </row>
    <row r="1185" spans="5:5" x14ac:dyDescent="0.2">
      <c r="E1185" s="26"/>
    </row>
    <row r="1186" spans="5:5" x14ac:dyDescent="0.2">
      <c r="E1186" s="26"/>
    </row>
    <row r="1187" spans="5:5" x14ac:dyDescent="0.2">
      <c r="E1187" s="26"/>
    </row>
    <row r="1188" spans="5:5" x14ac:dyDescent="0.2">
      <c r="E1188" s="26"/>
    </row>
    <row r="1189" spans="5:5" x14ac:dyDescent="0.2">
      <c r="E1189" s="26"/>
    </row>
    <row r="1190" spans="5:5" x14ac:dyDescent="0.2">
      <c r="E1190" s="26"/>
    </row>
    <row r="1191" spans="5:5" x14ac:dyDescent="0.2">
      <c r="E1191" s="26"/>
    </row>
    <row r="1192" spans="5:5" x14ac:dyDescent="0.2">
      <c r="E1192" s="26"/>
    </row>
    <row r="1193" spans="5:5" x14ac:dyDescent="0.2">
      <c r="E1193" s="26"/>
    </row>
    <row r="1194" spans="5:5" x14ac:dyDescent="0.2">
      <c r="E1194" s="26"/>
    </row>
    <row r="1195" spans="5:5" x14ac:dyDescent="0.2">
      <c r="E1195" s="26"/>
    </row>
    <row r="1196" spans="5:5" x14ac:dyDescent="0.2">
      <c r="E1196" s="26"/>
    </row>
    <row r="1197" spans="5:5" x14ac:dyDescent="0.2">
      <c r="E1197" s="26"/>
    </row>
    <row r="1198" spans="5:5" x14ac:dyDescent="0.2">
      <c r="E1198" s="26"/>
    </row>
    <row r="1199" spans="5:5" x14ac:dyDescent="0.2">
      <c r="E1199" s="26"/>
    </row>
    <row r="1200" spans="5:5" x14ac:dyDescent="0.2">
      <c r="E1200" s="26"/>
    </row>
    <row r="1201" spans="5:5" x14ac:dyDescent="0.2">
      <c r="E1201" s="26"/>
    </row>
    <row r="1202" spans="5:5" x14ac:dyDescent="0.2">
      <c r="E1202" s="26"/>
    </row>
    <row r="1203" spans="5:5" x14ac:dyDescent="0.2">
      <c r="E1203" s="26"/>
    </row>
    <row r="1204" spans="5:5" x14ac:dyDescent="0.2">
      <c r="E1204" s="26"/>
    </row>
    <row r="1205" spans="5:5" x14ac:dyDescent="0.2">
      <c r="E1205" s="26"/>
    </row>
    <row r="1206" spans="5:5" x14ac:dyDescent="0.2">
      <c r="E1206" s="26"/>
    </row>
    <row r="1207" spans="5:5" x14ac:dyDescent="0.2">
      <c r="E1207" s="26"/>
    </row>
    <row r="1208" spans="5:5" x14ac:dyDescent="0.2">
      <c r="E1208" s="26"/>
    </row>
    <row r="1209" spans="5:5" x14ac:dyDescent="0.2">
      <c r="E1209" s="26"/>
    </row>
    <row r="1210" spans="5:5" x14ac:dyDescent="0.2">
      <c r="E1210" s="26"/>
    </row>
    <row r="1211" spans="5:5" x14ac:dyDescent="0.2">
      <c r="E1211" s="26"/>
    </row>
    <row r="1212" spans="5:5" x14ac:dyDescent="0.2">
      <c r="E1212" s="26"/>
    </row>
    <row r="1213" spans="5:5" x14ac:dyDescent="0.2">
      <c r="E1213" s="26"/>
    </row>
    <row r="1214" spans="5:5" x14ac:dyDescent="0.2">
      <c r="E1214" s="26"/>
    </row>
    <row r="1215" spans="5:5" x14ac:dyDescent="0.2">
      <c r="E1215" s="26"/>
    </row>
    <row r="1216" spans="5:5" x14ac:dyDescent="0.2">
      <c r="E1216" s="26"/>
    </row>
    <row r="1217" spans="5:5" x14ac:dyDescent="0.2">
      <c r="E1217" s="26"/>
    </row>
    <row r="1218" spans="5:5" x14ac:dyDescent="0.2">
      <c r="E1218" s="26"/>
    </row>
    <row r="1219" spans="5:5" x14ac:dyDescent="0.2">
      <c r="E1219" s="26"/>
    </row>
    <row r="1220" spans="5:5" x14ac:dyDescent="0.2">
      <c r="E1220" s="26"/>
    </row>
    <row r="1221" spans="5:5" x14ac:dyDescent="0.2">
      <c r="E1221" s="26"/>
    </row>
    <row r="1222" spans="5:5" x14ac:dyDescent="0.2">
      <c r="E1222" s="26"/>
    </row>
    <row r="1223" spans="5:5" x14ac:dyDescent="0.2">
      <c r="E1223" s="26"/>
    </row>
    <row r="1224" spans="5:5" x14ac:dyDescent="0.2">
      <c r="E1224" s="26"/>
    </row>
    <row r="1225" spans="5:5" x14ac:dyDescent="0.2">
      <c r="E1225" s="26"/>
    </row>
    <row r="1226" spans="5:5" x14ac:dyDescent="0.2">
      <c r="E1226" s="26"/>
    </row>
    <row r="1227" spans="5:5" x14ac:dyDescent="0.2">
      <c r="E1227" s="26"/>
    </row>
    <row r="1228" spans="5:5" x14ac:dyDescent="0.2">
      <c r="E1228" s="26"/>
    </row>
    <row r="1229" spans="5:5" x14ac:dyDescent="0.2">
      <c r="E1229" s="26"/>
    </row>
    <row r="1230" spans="5:5" x14ac:dyDescent="0.2">
      <c r="E1230" s="26"/>
    </row>
    <row r="1231" spans="5:5" x14ac:dyDescent="0.2">
      <c r="E1231" s="26"/>
    </row>
    <row r="1232" spans="5:5" x14ac:dyDescent="0.2">
      <c r="E1232" s="26"/>
    </row>
    <row r="1233" spans="5:5" x14ac:dyDescent="0.2">
      <c r="E1233" s="26"/>
    </row>
    <row r="1234" spans="5:5" x14ac:dyDescent="0.2">
      <c r="E1234" s="26"/>
    </row>
    <row r="1235" spans="5:5" x14ac:dyDescent="0.2">
      <c r="E1235" s="26"/>
    </row>
    <row r="1236" spans="5:5" x14ac:dyDescent="0.2">
      <c r="E1236" s="26"/>
    </row>
    <row r="1237" spans="5:5" x14ac:dyDescent="0.2">
      <c r="E1237" s="26"/>
    </row>
    <row r="1238" spans="5:5" x14ac:dyDescent="0.2">
      <c r="E1238" s="26"/>
    </row>
    <row r="1239" spans="5:5" x14ac:dyDescent="0.2">
      <c r="E1239" s="26"/>
    </row>
    <row r="1240" spans="5:5" x14ac:dyDescent="0.2">
      <c r="E1240" s="26"/>
    </row>
    <row r="1241" spans="5:5" x14ac:dyDescent="0.2">
      <c r="E1241" s="26"/>
    </row>
    <row r="1242" spans="5:5" x14ac:dyDescent="0.2">
      <c r="E1242" s="26"/>
    </row>
    <row r="1243" spans="5:5" x14ac:dyDescent="0.2">
      <c r="E1243" s="26"/>
    </row>
    <row r="1244" spans="5:5" x14ac:dyDescent="0.2">
      <c r="E1244" s="26"/>
    </row>
    <row r="1245" spans="5:5" x14ac:dyDescent="0.2">
      <c r="E1245" s="26"/>
    </row>
    <row r="1246" spans="5:5" x14ac:dyDescent="0.2">
      <c r="E1246" s="26"/>
    </row>
    <row r="1247" spans="5:5" x14ac:dyDescent="0.2">
      <c r="E1247" s="26"/>
    </row>
    <row r="1248" spans="5:5" x14ac:dyDescent="0.2">
      <c r="E1248" s="26"/>
    </row>
    <row r="1249" spans="5:5" x14ac:dyDescent="0.2">
      <c r="E1249" s="26"/>
    </row>
    <row r="1250" spans="5:5" x14ac:dyDescent="0.2">
      <c r="E1250" s="26"/>
    </row>
    <row r="1251" spans="5:5" x14ac:dyDescent="0.2">
      <c r="E1251" s="26"/>
    </row>
    <row r="1252" spans="5:5" x14ac:dyDescent="0.2">
      <c r="E1252" s="26"/>
    </row>
    <row r="1253" spans="5:5" x14ac:dyDescent="0.2">
      <c r="E1253" s="26"/>
    </row>
    <row r="1254" spans="5:5" x14ac:dyDescent="0.2">
      <c r="E1254" s="26"/>
    </row>
    <row r="1255" spans="5:5" x14ac:dyDescent="0.2">
      <c r="E1255" s="26"/>
    </row>
    <row r="1256" spans="5:5" x14ac:dyDescent="0.2">
      <c r="E1256" s="26"/>
    </row>
    <row r="1257" spans="5:5" x14ac:dyDescent="0.2">
      <c r="E1257" s="26"/>
    </row>
    <row r="1258" spans="5:5" x14ac:dyDescent="0.2">
      <c r="E1258" s="26"/>
    </row>
    <row r="1259" spans="5:5" x14ac:dyDescent="0.2">
      <c r="E1259" s="26"/>
    </row>
    <row r="1260" spans="5:5" x14ac:dyDescent="0.2">
      <c r="E1260" s="26"/>
    </row>
    <row r="1261" spans="5:5" x14ac:dyDescent="0.2">
      <c r="E1261" s="26"/>
    </row>
    <row r="1262" spans="5:5" x14ac:dyDescent="0.2">
      <c r="E1262" s="26"/>
    </row>
    <row r="1263" spans="5:5" x14ac:dyDescent="0.2">
      <c r="E1263" s="26"/>
    </row>
    <row r="1264" spans="5:5" x14ac:dyDescent="0.2">
      <c r="E1264" s="26"/>
    </row>
    <row r="1265" spans="5:5" x14ac:dyDescent="0.2">
      <c r="E1265" s="26"/>
    </row>
    <row r="1266" spans="5:5" x14ac:dyDescent="0.2">
      <c r="E1266" s="26"/>
    </row>
    <row r="1267" spans="5:5" x14ac:dyDescent="0.2">
      <c r="E1267" s="26"/>
    </row>
    <row r="1268" spans="5:5" x14ac:dyDescent="0.2">
      <c r="E1268" s="26"/>
    </row>
    <row r="1269" spans="5:5" x14ac:dyDescent="0.2">
      <c r="E1269" s="26"/>
    </row>
    <row r="1270" spans="5:5" x14ac:dyDescent="0.2">
      <c r="E1270" s="26"/>
    </row>
    <row r="1271" spans="5:5" x14ac:dyDescent="0.2">
      <c r="E1271" s="26"/>
    </row>
    <row r="1272" spans="5:5" x14ac:dyDescent="0.2">
      <c r="E1272" s="26"/>
    </row>
    <row r="1273" spans="5:5" x14ac:dyDescent="0.2">
      <c r="E1273" s="26"/>
    </row>
    <row r="1274" spans="5:5" x14ac:dyDescent="0.2">
      <c r="E1274" s="26"/>
    </row>
    <row r="1275" spans="5:5" x14ac:dyDescent="0.2">
      <c r="E1275" s="26"/>
    </row>
    <row r="1276" spans="5:5" x14ac:dyDescent="0.2">
      <c r="E1276" s="26"/>
    </row>
    <row r="1277" spans="5:5" x14ac:dyDescent="0.2">
      <c r="E1277" s="26"/>
    </row>
    <row r="1278" spans="5:5" x14ac:dyDescent="0.2">
      <c r="E1278" s="26"/>
    </row>
    <row r="1279" spans="5:5" x14ac:dyDescent="0.2">
      <c r="E1279" s="26"/>
    </row>
    <row r="1280" spans="5:5" x14ac:dyDescent="0.2">
      <c r="E1280" s="26"/>
    </row>
    <row r="1281" spans="5:5" x14ac:dyDescent="0.2">
      <c r="E1281" s="26"/>
    </row>
    <row r="1282" spans="5:5" x14ac:dyDescent="0.2">
      <c r="E1282" s="26"/>
    </row>
    <row r="1283" spans="5:5" x14ac:dyDescent="0.2">
      <c r="E1283" s="26"/>
    </row>
    <row r="1284" spans="5:5" x14ac:dyDescent="0.2">
      <c r="E1284" s="26"/>
    </row>
    <row r="1285" spans="5:5" x14ac:dyDescent="0.2">
      <c r="E1285" s="26"/>
    </row>
    <row r="1286" spans="5:5" x14ac:dyDescent="0.2">
      <c r="E1286" s="26"/>
    </row>
    <row r="1287" spans="5:5" x14ac:dyDescent="0.2">
      <c r="E1287" s="26"/>
    </row>
    <row r="1288" spans="5:5" x14ac:dyDescent="0.2">
      <c r="E1288" s="26"/>
    </row>
    <row r="1289" spans="5:5" x14ac:dyDescent="0.2">
      <c r="E1289" s="26"/>
    </row>
    <row r="1290" spans="5:5" x14ac:dyDescent="0.2">
      <c r="E1290" s="26"/>
    </row>
    <row r="1291" spans="5:5" x14ac:dyDescent="0.2">
      <c r="E1291" s="26"/>
    </row>
    <row r="1292" spans="5:5" x14ac:dyDescent="0.2">
      <c r="E1292" s="26"/>
    </row>
    <row r="1293" spans="5:5" x14ac:dyDescent="0.2">
      <c r="E1293" s="26"/>
    </row>
    <row r="1294" spans="5:5" x14ac:dyDescent="0.2">
      <c r="E1294" s="26"/>
    </row>
    <row r="1295" spans="5:5" x14ac:dyDescent="0.2">
      <c r="E1295" s="26"/>
    </row>
    <row r="1296" spans="5:5" x14ac:dyDescent="0.2">
      <c r="E1296" s="26"/>
    </row>
    <row r="1297" spans="5:5" x14ac:dyDescent="0.2">
      <c r="E1297" s="26"/>
    </row>
    <row r="1298" spans="5:5" x14ac:dyDescent="0.2">
      <c r="E1298" s="26"/>
    </row>
    <row r="1299" spans="5:5" x14ac:dyDescent="0.2">
      <c r="E1299" s="26"/>
    </row>
    <row r="1300" spans="5:5" x14ac:dyDescent="0.2">
      <c r="E1300" s="26"/>
    </row>
    <row r="1301" spans="5:5" x14ac:dyDescent="0.2">
      <c r="E1301" s="26"/>
    </row>
    <row r="1302" spans="5:5" x14ac:dyDescent="0.2">
      <c r="E1302" s="26"/>
    </row>
    <row r="1303" spans="5:5" x14ac:dyDescent="0.2">
      <c r="E1303" s="26"/>
    </row>
    <row r="1304" spans="5:5" x14ac:dyDescent="0.2">
      <c r="E1304" s="26"/>
    </row>
    <row r="1305" spans="5:5" x14ac:dyDescent="0.2">
      <c r="E1305" s="26"/>
    </row>
    <row r="1306" spans="5:5" x14ac:dyDescent="0.2">
      <c r="E1306" s="26"/>
    </row>
    <row r="1307" spans="5:5" x14ac:dyDescent="0.2">
      <c r="E1307" s="26"/>
    </row>
    <row r="1308" spans="5:5" x14ac:dyDescent="0.2">
      <c r="E1308" s="26"/>
    </row>
    <row r="1309" spans="5:5" x14ac:dyDescent="0.2">
      <c r="E1309" s="26"/>
    </row>
    <row r="1310" spans="5:5" x14ac:dyDescent="0.2">
      <c r="E1310" s="26"/>
    </row>
    <row r="1311" spans="5:5" x14ac:dyDescent="0.2">
      <c r="E1311" s="26"/>
    </row>
    <row r="1312" spans="5:5" x14ac:dyDescent="0.2">
      <c r="E1312" s="26"/>
    </row>
    <row r="1313" spans="5:5" x14ac:dyDescent="0.2">
      <c r="E1313" s="26"/>
    </row>
    <row r="1314" spans="5:5" x14ac:dyDescent="0.2">
      <c r="E1314" s="26"/>
    </row>
    <row r="1315" spans="5:5" x14ac:dyDescent="0.2">
      <c r="E1315" s="26"/>
    </row>
    <row r="1316" spans="5:5" x14ac:dyDescent="0.2">
      <c r="E1316" s="26"/>
    </row>
    <row r="1317" spans="5:5" x14ac:dyDescent="0.2">
      <c r="E1317" s="26"/>
    </row>
    <row r="1318" spans="5:5" x14ac:dyDescent="0.2">
      <c r="E1318" s="26"/>
    </row>
    <row r="1319" spans="5:5" x14ac:dyDescent="0.2">
      <c r="E1319" s="26"/>
    </row>
    <row r="1320" spans="5:5" x14ac:dyDescent="0.2">
      <c r="E1320" s="26"/>
    </row>
    <row r="1321" spans="5:5" x14ac:dyDescent="0.2">
      <c r="E1321" s="26"/>
    </row>
    <row r="1322" spans="5:5" x14ac:dyDescent="0.2">
      <c r="E1322" s="26"/>
    </row>
    <row r="1323" spans="5:5" x14ac:dyDescent="0.2">
      <c r="E1323" s="26"/>
    </row>
    <row r="1324" spans="5:5" x14ac:dyDescent="0.2">
      <c r="E1324" s="26"/>
    </row>
    <row r="1325" spans="5:5" x14ac:dyDescent="0.2">
      <c r="E1325" s="26"/>
    </row>
    <row r="1326" spans="5:5" x14ac:dyDescent="0.2">
      <c r="E1326" s="26"/>
    </row>
    <row r="1327" spans="5:5" x14ac:dyDescent="0.2">
      <c r="E1327" s="26"/>
    </row>
    <row r="1328" spans="5:5" x14ac:dyDescent="0.2">
      <c r="E1328" s="26"/>
    </row>
    <row r="1329" spans="5:5" x14ac:dyDescent="0.2">
      <c r="E1329" s="26"/>
    </row>
    <row r="1330" spans="5:5" x14ac:dyDescent="0.2">
      <c r="E1330" s="26"/>
    </row>
    <row r="1331" spans="5:5" x14ac:dyDescent="0.2">
      <c r="E1331" s="26"/>
    </row>
    <row r="1332" spans="5:5" x14ac:dyDescent="0.2">
      <c r="E1332" s="26"/>
    </row>
    <row r="1333" spans="5:5" x14ac:dyDescent="0.2">
      <c r="E1333" s="26"/>
    </row>
    <row r="1334" spans="5:5" x14ac:dyDescent="0.2">
      <c r="E1334" s="26"/>
    </row>
    <row r="1335" spans="5:5" x14ac:dyDescent="0.2">
      <c r="E1335" s="26"/>
    </row>
    <row r="1336" spans="5:5" x14ac:dyDescent="0.2">
      <c r="E1336" s="26"/>
    </row>
    <row r="1337" spans="5:5" x14ac:dyDescent="0.2">
      <c r="E1337" s="26"/>
    </row>
    <row r="1338" spans="5:5" x14ac:dyDescent="0.2">
      <c r="E1338" s="26"/>
    </row>
    <row r="1339" spans="5:5" x14ac:dyDescent="0.2">
      <c r="E1339" s="26"/>
    </row>
    <row r="1340" spans="5:5" x14ac:dyDescent="0.2">
      <c r="E1340" s="26"/>
    </row>
    <row r="1341" spans="5:5" x14ac:dyDescent="0.2">
      <c r="E1341" s="26"/>
    </row>
    <row r="1342" spans="5:5" x14ac:dyDescent="0.2">
      <c r="E1342" s="26"/>
    </row>
    <row r="1343" spans="5:5" x14ac:dyDescent="0.2">
      <c r="E1343" s="26"/>
    </row>
    <row r="1344" spans="5:5" x14ac:dyDescent="0.2">
      <c r="E1344" s="26"/>
    </row>
    <row r="1345" spans="5:5" x14ac:dyDescent="0.2">
      <c r="E1345" s="26"/>
    </row>
    <row r="1346" spans="5:5" x14ac:dyDescent="0.2">
      <c r="E1346" s="26"/>
    </row>
    <row r="1347" spans="5:5" x14ac:dyDescent="0.2">
      <c r="E1347" s="26"/>
    </row>
    <row r="1348" spans="5:5" x14ac:dyDescent="0.2">
      <c r="E1348" s="26"/>
    </row>
    <row r="1349" spans="5:5" x14ac:dyDescent="0.2">
      <c r="E1349" s="26"/>
    </row>
    <row r="1350" spans="5:5" x14ac:dyDescent="0.2">
      <c r="E1350" s="26"/>
    </row>
    <row r="1351" spans="5:5" x14ac:dyDescent="0.2">
      <c r="E1351" s="26"/>
    </row>
    <row r="1352" spans="5:5" x14ac:dyDescent="0.2">
      <c r="E1352" s="26"/>
    </row>
    <row r="1353" spans="5:5" x14ac:dyDescent="0.2">
      <c r="E1353" s="26"/>
    </row>
    <row r="1354" spans="5:5" x14ac:dyDescent="0.2">
      <c r="E1354" s="26"/>
    </row>
    <row r="1355" spans="5:5" x14ac:dyDescent="0.2">
      <c r="E1355" s="26"/>
    </row>
    <row r="1356" spans="5:5" x14ac:dyDescent="0.2">
      <c r="E1356" s="26"/>
    </row>
    <row r="1357" spans="5:5" x14ac:dyDescent="0.2">
      <c r="E1357" s="26"/>
    </row>
    <row r="1358" spans="5:5" x14ac:dyDescent="0.2">
      <c r="E1358" s="26"/>
    </row>
    <row r="1359" spans="5:5" x14ac:dyDescent="0.2">
      <c r="E1359" s="26"/>
    </row>
    <row r="1360" spans="5:5" x14ac:dyDescent="0.2">
      <c r="E1360" s="26"/>
    </row>
    <row r="1361" spans="5:5" x14ac:dyDescent="0.2">
      <c r="E1361" s="26"/>
    </row>
    <row r="1362" spans="5:5" x14ac:dyDescent="0.2">
      <c r="E1362" s="26"/>
    </row>
    <row r="1363" spans="5:5" x14ac:dyDescent="0.2">
      <c r="E1363" s="26"/>
    </row>
    <row r="1364" spans="5:5" x14ac:dyDescent="0.2">
      <c r="E1364" s="26"/>
    </row>
    <row r="1365" spans="5:5" x14ac:dyDescent="0.2">
      <c r="E1365" s="26"/>
    </row>
    <row r="1366" spans="5:5" x14ac:dyDescent="0.2">
      <c r="E1366" s="26"/>
    </row>
    <row r="1367" spans="5:5" x14ac:dyDescent="0.2">
      <c r="E1367" s="26"/>
    </row>
    <row r="1368" spans="5:5" x14ac:dyDescent="0.2">
      <c r="E1368" s="26"/>
    </row>
    <row r="1369" spans="5:5" x14ac:dyDescent="0.2">
      <c r="E1369" s="26"/>
    </row>
    <row r="1370" spans="5:5" x14ac:dyDescent="0.2">
      <c r="E1370" s="26"/>
    </row>
    <row r="1371" spans="5:5" x14ac:dyDescent="0.2">
      <c r="E1371" s="26"/>
    </row>
    <row r="1372" spans="5:5" x14ac:dyDescent="0.2">
      <c r="E1372" s="26"/>
    </row>
    <row r="1373" spans="5:5" x14ac:dyDescent="0.2">
      <c r="E1373" s="26"/>
    </row>
    <row r="1374" spans="5:5" x14ac:dyDescent="0.2">
      <c r="E1374" s="26"/>
    </row>
    <row r="1375" spans="5:5" x14ac:dyDescent="0.2">
      <c r="E1375" s="26"/>
    </row>
    <row r="1376" spans="5:5" x14ac:dyDescent="0.2">
      <c r="E1376" s="26"/>
    </row>
    <row r="1377" spans="5:5" x14ac:dyDescent="0.2">
      <c r="E1377" s="26"/>
    </row>
    <row r="1378" spans="5:5" x14ac:dyDescent="0.2">
      <c r="E1378" s="26"/>
    </row>
    <row r="1379" spans="5:5" x14ac:dyDescent="0.2">
      <c r="E1379" s="26"/>
    </row>
    <row r="1380" spans="5:5" x14ac:dyDescent="0.2">
      <c r="E1380" s="26"/>
    </row>
    <row r="1381" spans="5:5" x14ac:dyDescent="0.2">
      <c r="E1381" s="26"/>
    </row>
    <row r="1382" spans="5:5" x14ac:dyDescent="0.2">
      <c r="E1382" s="26"/>
    </row>
    <row r="1383" spans="5:5" x14ac:dyDescent="0.2">
      <c r="E1383" s="26"/>
    </row>
    <row r="1384" spans="5:5" x14ac:dyDescent="0.2">
      <c r="E1384" s="26"/>
    </row>
    <row r="1385" spans="5:5" x14ac:dyDescent="0.2">
      <c r="E1385" s="26"/>
    </row>
    <row r="1386" spans="5:5" x14ac:dyDescent="0.2">
      <c r="E1386" s="26"/>
    </row>
    <row r="1387" spans="5:5" x14ac:dyDescent="0.2">
      <c r="E1387" s="26"/>
    </row>
    <row r="1388" spans="5:5" x14ac:dyDescent="0.2">
      <c r="E1388" s="26"/>
    </row>
    <row r="1389" spans="5:5" x14ac:dyDescent="0.2">
      <c r="E1389" s="26"/>
    </row>
    <row r="1390" spans="5:5" x14ac:dyDescent="0.2">
      <c r="E1390" s="26"/>
    </row>
    <row r="1391" spans="5:5" x14ac:dyDescent="0.2">
      <c r="E1391" s="26"/>
    </row>
    <row r="1392" spans="5:5" x14ac:dyDescent="0.2">
      <c r="E1392" s="26"/>
    </row>
    <row r="1393" spans="5:5" x14ac:dyDescent="0.2">
      <c r="E1393" s="26"/>
    </row>
    <row r="1394" spans="5:5" x14ac:dyDescent="0.2">
      <c r="E1394" s="26"/>
    </row>
    <row r="1395" spans="5:5" x14ac:dyDescent="0.2">
      <c r="E1395" s="26"/>
    </row>
    <row r="1396" spans="5:5" x14ac:dyDescent="0.2">
      <c r="E1396" s="26"/>
    </row>
    <row r="1397" spans="5:5" x14ac:dyDescent="0.2">
      <c r="E1397" s="26"/>
    </row>
    <row r="1398" spans="5:5" x14ac:dyDescent="0.2">
      <c r="E1398" s="26"/>
    </row>
    <row r="1399" spans="5:5" x14ac:dyDescent="0.2">
      <c r="E1399" s="26"/>
    </row>
    <row r="1400" spans="5:5" x14ac:dyDescent="0.2">
      <c r="E1400" s="26"/>
    </row>
    <row r="1401" spans="5:5" x14ac:dyDescent="0.2">
      <c r="E1401" s="26"/>
    </row>
    <row r="1402" spans="5:5" x14ac:dyDescent="0.2">
      <c r="E1402" s="26"/>
    </row>
    <row r="1403" spans="5:5" x14ac:dyDescent="0.2">
      <c r="E1403" s="26"/>
    </row>
    <row r="1404" spans="5:5" x14ac:dyDescent="0.2">
      <c r="E1404" s="26"/>
    </row>
    <row r="1405" spans="5:5" x14ac:dyDescent="0.2">
      <c r="E1405" s="26"/>
    </row>
    <row r="1406" spans="5:5" x14ac:dyDescent="0.2">
      <c r="E1406" s="26"/>
    </row>
    <row r="1407" spans="5:5" x14ac:dyDescent="0.2">
      <c r="E1407" s="26"/>
    </row>
    <row r="1408" spans="5:5" x14ac:dyDescent="0.2">
      <c r="E1408" s="26"/>
    </row>
    <row r="1409" spans="5:5" x14ac:dyDescent="0.2">
      <c r="E1409" s="26"/>
    </row>
    <row r="1410" spans="5:5" x14ac:dyDescent="0.2">
      <c r="E1410" s="26"/>
    </row>
    <row r="1411" spans="5:5" x14ac:dyDescent="0.2">
      <c r="E1411" s="26"/>
    </row>
    <row r="1412" spans="5:5" x14ac:dyDescent="0.2">
      <c r="E1412" s="26"/>
    </row>
    <row r="1413" spans="5:5" x14ac:dyDescent="0.2">
      <c r="E1413" s="26"/>
    </row>
    <row r="1414" spans="5:5" x14ac:dyDescent="0.2">
      <c r="E1414" s="26"/>
    </row>
    <row r="1415" spans="5:5" x14ac:dyDescent="0.2">
      <c r="E1415" s="26"/>
    </row>
    <row r="1416" spans="5:5" x14ac:dyDescent="0.2">
      <c r="E1416" s="26"/>
    </row>
    <row r="1417" spans="5:5" x14ac:dyDescent="0.2">
      <c r="E1417" s="26"/>
    </row>
    <row r="1418" spans="5:5" x14ac:dyDescent="0.2">
      <c r="E1418" s="26"/>
    </row>
    <row r="1419" spans="5:5" x14ac:dyDescent="0.2">
      <c r="E1419" s="26"/>
    </row>
    <row r="1420" spans="5:5" x14ac:dyDescent="0.2">
      <c r="E1420" s="26"/>
    </row>
    <row r="1421" spans="5:5" x14ac:dyDescent="0.2">
      <c r="E1421" s="26"/>
    </row>
    <row r="1422" spans="5:5" x14ac:dyDescent="0.2">
      <c r="E1422" s="26"/>
    </row>
    <row r="1423" spans="5:5" x14ac:dyDescent="0.2">
      <c r="E1423" s="26"/>
    </row>
    <row r="1424" spans="5:5" x14ac:dyDescent="0.2">
      <c r="E1424" s="26"/>
    </row>
    <row r="1425" spans="5:5" x14ac:dyDescent="0.2">
      <c r="E1425" s="26"/>
    </row>
    <row r="1426" spans="5:5" x14ac:dyDescent="0.2">
      <c r="E1426" s="26"/>
    </row>
    <row r="1427" spans="5:5" x14ac:dyDescent="0.2">
      <c r="E1427" s="26"/>
    </row>
    <row r="1428" spans="5:5" x14ac:dyDescent="0.2">
      <c r="E1428" s="26"/>
    </row>
    <row r="1429" spans="5:5" x14ac:dyDescent="0.2">
      <c r="E1429" s="26"/>
    </row>
    <row r="1430" spans="5:5" x14ac:dyDescent="0.2">
      <c r="E1430" s="26"/>
    </row>
    <row r="1431" spans="5:5" x14ac:dyDescent="0.2">
      <c r="E1431" s="26"/>
    </row>
    <row r="1432" spans="5:5" x14ac:dyDescent="0.2">
      <c r="E1432" s="26"/>
    </row>
    <row r="1433" spans="5:5" x14ac:dyDescent="0.2">
      <c r="E1433" s="26"/>
    </row>
    <row r="1434" spans="5:5" x14ac:dyDescent="0.2">
      <c r="E1434" s="26"/>
    </row>
    <row r="1435" spans="5:5" x14ac:dyDescent="0.2">
      <c r="E1435" s="26"/>
    </row>
    <row r="1436" spans="5:5" x14ac:dyDescent="0.2">
      <c r="E1436" s="26"/>
    </row>
    <row r="1437" spans="5:5" x14ac:dyDescent="0.2">
      <c r="E1437" s="26"/>
    </row>
    <row r="1438" spans="5:5" x14ac:dyDescent="0.2">
      <c r="E1438" s="26"/>
    </row>
    <row r="1439" spans="5:5" x14ac:dyDescent="0.2">
      <c r="E1439" s="26"/>
    </row>
    <row r="1440" spans="5:5" x14ac:dyDescent="0.2">
      <c r="E1440" s="26"/>
    </row>
    <row r="1441" spans="5:5" x14ac:dyDescent="0.2">
      <c r="E1441" s="26"/>
    </row>
    <row r="1442" spans="5:5" x14ac:dyDescent="0.2">
      <c r="E1442" s="26"/>
    </row>
    <row r="1443" spans="5:5" x14ac:dyDescent="0.2">
      <c r="E1443" s="26"/>
    </row>
    <row r="1444" spans="5:5" x14ac:dyDescent="0.2">
      <c r="E1444" s="26"/>
    </row>
    <row r="1445" spans="5:5" x14ac:dyDescent="0.2">
      <c r="E1445" s="26"/>
    </row>
    <row r="1446" spans="5:5" x14ac:dyDescent="0.2">
      <c r="E1446" s="26"/>
    </row>
    <row r="1447" spans="5:5" x14ac:dyDescent="0.2">
      <c r="E1447" s="26"/>
    </row>
    <row r="1448" spans="5:5" x14ac:dyDescent="0.2">
      <c r="E1448" s="26"/>
    </row>
    <row r="1449" spans="5:5" x14ac:dyDescent="0.2">
      <c r="E1449" s="26"/>
    </row>
    <row r="1450" spans="5:5" x14ac:dyDescent="0.2">
      <c r="E1450" s="26"/>
    </row>
    <row r="1451" spans="5:5" x14ac:dyDescent="0.2">
      <c r="E1451" s="26"/>
    </row>
    <row r="1452" spans="5:5" x14ac:dyDescent="0.2">
      <c r="E1452" s="26"/>
    </row>
    <row r="1453" spans="5:5" x14ac:dyDescent="0.2">
      <c r="E1453" s="26"/>
    </row>
    <row r="1454" spans="5:5" x14ac:dyDescent="0.2">
      <c r="E1454" s="26"/>
    </row>
    <row r="1455" spans="5:5" x14ac:dyDescent="0.2">
      <c r="E1455" s="26"/>
    </row>
    <row r="1456" spans="5:5" x14ac:dyDescent="0.2">
      <c r="E1456" s="26"/>
    </row>
    <row r="1457" spans="5:5" x14ac:dyDescent="0.2">
      <c r="E1457" s="26"/>
    </row>
    <row r="1458" spans="5:5" x14ac:dyDescent="0.2">
      <c r="E1458" s="26"/>
    </row>
    <row r="1459" spans="5:5" x14ac:dyDescent="0.2">
      <c r="E1459" s="26"/>
    </row>
    <row r="1460" spans="5:5" x14ac:dyDescent="0.2">
      <c r="E1460" s="26"/>
    </row>
    <row r="1461" spans="5:5" x14ac:dyDescent="0.2">
      <c r="E1461" s="26"/>
    </row>
    <row r="1462" spans="5:5" x14ac:dyDescent="0.2">
      <c r="E1462" s="26"/>
    </row>
    <row r="1463" spans="5:5" x14ac:dyDescent="0.2">
      <c r="E1463" s="26"/>
    </row>
    <row r="1464" spans="5:5" x14ac:dyDescent="0.2">
      <c r="E1464" s="26"/>
    </row>
    <row r="1465" spans="5:5" x14ac:dyDescent="0.2">
      <c r="E1465" s="26"/>
    </row>
    <row r="1466" spans="5:5" x14ac:dyDescent="0.2">
      <c r="E1466" s="26"/>
    </row>
    <row r="1467" spans="5:5" x14ac:dyDescent="0.2">
      <c r="E1467" s="26"/>
    </row>
    <row r="1468" spans="5:5" x14ac:dyDescent="0.2">
      <c r="E1468" s="26"/>
    </row>
    <row r="1469" spans="5:5" x14ac:dyDescent="0.2">
      <c r="E1469" s="26"/>
    </row>
    <row r="1470" spans="5:5" x14ac:dyDescent="0.2">
      <c r="E1470" s="26"/>
    </row>
    <row r="1471" spans="5:5" x14ac:dyDescent="0.2">
      <c r="E1471" s="26"/>
    </row>
    <row r="1472" spans="5:5" x14ac:dyDescent="0.2">
      <c r="E1472" s="26"/>
    </row>
    <row r="1473" spans="5:5" x14ac:dyDescent="0.2">
      <c r="E1473" s="26"/>
    </row>
    <row r="1474" spans="5:5" x14ac:dyDescent="0.2">
      <c r="E1474" s="26"/>
    </row>
    <row r="1475" spans="5:5" x14ac:dyDescent="0.2">
      <c r="E1475" s="26"/>
    </row>
    <row r="1476" spans="5:5" x14ac:dyDescent="0.2">
      <c r="E1476" s="26"/>
    </row>
    <row r="1477" spans="5:5" x14ac:dyDescent="0.2">
      <c r="E1477" s="26"/>
    </row>
    <row r="1478" spans="5:5" x14ac:dyDescent="0.2">
      <c r="E1478" s="26"/>
    </row>
    <row r="1479" spans="5:5" x14ac:dyDescent="0.2">
      <c r="E1479" s="26"/>
    </row>
    <row r="1480" spans="5:5" x14ac:dyDescent="0.2">
      <c r="E1480" s="26"/>
    </row>
    <row r="1481" spans="5:5" x14ac:dyDescent="0.2">
      <c r="E1481" s="26"/>
    </row>
    <row r="1482" spans="5:5" x14ac:dyDescent="0.2">
      <c r="E1482" s="26"/>
    </row>
    <row r="1483" spans="5:5" x14ac:dyDescent="0.2">
      <c r="E1483" s="26"/>
    </row>
    <row r="1484" spans="5:5" x14ac:dyDescent="0.2">
      <c r="E1484" s="26"/>
    </row>
    <row r="1485" spans="5:5" x14ac:dyDescent="0.2">
      <c r="E1485" s="26"/>
    </row>
    <row r="1486" spans="5:5" x14ac:dyDescent="0.2">
      <c r="E1486" s="26"/>
    </row>
    <row r="1487" spans="5:5" x14ac:dyDescent="0.2">
      <c r="E1487" s="26"/>
    </row>
    <row r="1488" spans="5:5" x14ac:dyDescent="0.2">
      <c r="E1488" s="26"/>
    </row>
    <row r="1489" spans="5:5" x14ac:dyDescent="0.2">
      <c r="E1489" s="26"/>
    </row>
    <row r="1490" spans="5:5" x14ac:dyDescent="0.2">
      <c r="E1490" s="26"/>
    </row>
    <row r="1491" spans="5:5" x14ac:dyDescent="0.2">
      <c r="E1491" s="26"/>
    </row>
    <row r="1492" spans="5:5" x14ac:dyDescent="0.2">
      <c r="E1492" s="26"/>
    </row>
    <row r="1493" spans="5:5" x14ac:dyDescent="0.2">
      <c r="E1493" s="26"/>
    </row>
    <row r="1494" spans="5:5" x14ac:dyDescent="0.2">
      <c r="E1494" s="26"/>
    </row>
    <row r="1495" spans="5:5" x14ac:dyDescent="0.2">
      <c r="E1495" s="26"/>
    </row>
    <row r="1496" spans="5:5" x14ac:dyDescent="0.2">
      <c r="E1496" s="26"/>
    </row>
    <row r="1497" spans="5:5" x14ac:dyDescent="0.2">
      <c r="E1497" s="26"/>
    </row>
    <row r="1498" spans="5:5" x14ac:dyDescent="0.2">
      <c r="E1498" s="26"/>
    </row>
    <row r="1499" spans="5:5" x14ac:dyDescent="0.2">
      <c r="E1499" s="26"/>
    </row>
    <row r="1500" spans="5:5" x14ac:dyDescent="0.2">
      <c r="E1500" s="26"/>
    </row>
    <row r="1501" spans="5:5" x14ac:dyDescent="0.2">
      <c r="E1501" s="26"/>
    </row>
    <row r="1502" spans="5:5" x14ac:dyDescent="0.2">
      <c r="E1502" s="26"/>
    </row>
    <row r="1503" spans="5:5" x14ac:dyDescent="0.2">
      <c r="E1503" s="26"/>
    </row>
    <row r="1504" spans="5:5" x14ac:dyDescent="0.2">
      <c r="E1504" s="26"/>
    </row>
    <row r="1505" spans="5:5" x14ac:dyDescent="0.2">
      <c r="E1505" s="26"/>
    </row>
    <row r="1506" spans="5:5" x14ac:dyDescent="0.2">
      <c r="E1506" s="26"/>
    </row>
    <row r="1507" spans="5:5" x14ac:dyDescent="0.2">
      <c r="E1507" s="26"/>
    </row>
    <row r="1508" spans="5:5" x14ac:dyDescent="0.2">
      <c r="E1508" s="26"/>
    </row>
    <row r="1509" spans="5:5" x14ac:dyDescent="0.2">
      <c r="E1509" s="26"/>
    </row>
    <row r="1510" spans="5:5" x14ac:dyDescent="0.2">
      <c r="E1510" s="26"/>
    </row>
    <row r="1511" spans="5:5" x14ac:dyDescent="0.2">
      <c r="E1511" s="26"/>
    </row>
    <row r="1512" spans="5:5" x14ac:dyDescent="0.2">
      <c r="E1512" s="26"/>
    </row>
    <row r="1513" spans="5:5" x14ac:dyDescent="0.2">
      <c r="E1513" s="26"/>
    </row>
    <row r="1514" spans="5:5" x14ac:dyDescent="0.2">
      <c r="E1514" s="26"/>
    </row>
    <row r="1515" spans="5:5" x14ac:dyDescent="0.2">
      <c r="E1515" s="26"/>
    </row>
    <row r="1516" spans="5:5" x14ac:dyDescent="0.2">
      <c r="E1516" s="26"/>
    </row>
    <row r="1517" spans="5:5" x14ac:dyDescent="0.2">
      <c r="E1517" s="26"/>
    </row>
    <row r="1518" spans="5:5" x14ac:dyDescent="0.2">
      <c r="E1518" s="26"/>
    </row>
    <row r="1519" spans="5:5" x14ac:dyDescent="0.2">
      <c r="E1519" s="26"/>
    </row>
    <row r="1520" spans="5:5" x14ac:dyDescent="0.2">
      <c r="E1520" s="26"/>
    </row>
    <row r="1521" spans="5:5" x14ac:dyDescent="0.2">
      <c r="E1521" s="26"/>
    </row>
    <row r="1522" spans="5:5" x14ac:dyDescent="0.2">
      <c r="E1522" s="26"/>
    </row>
    <row r="1523" spans="5:5" x14ac:dyDescent="0.2">
      <c r="E1523" s="26"/>
    </row>
    <row r="1524" spans="5:5" x14ac:dyDescent="0.2">
      <c r="E1524" s="26"/>
    </row>
    <row r="1525" spans="5:5" x14ac:dyDescent="0.2">
      <c r="E1525" s="26"/>
    </row>
    <row r="1526" spans="5:5" x14ac:dyDescent="0.2">
      <c r="E1526" s="26"/>
    </row>
    <row r="1527" spans="5:5" x14ac:dyDescent="0.2">
      <c r="E1527" s="26"/>
    </row>
    <row r="1528" spans="5:5" x14ac:dyDescent="0.2">
      <c r="E1528" s="26"/>
    </row>
    <row r="1529" spans="5:5" x14ac:dyDescent="0.2">
      <c r="E1529" s="26"/>
    </row>
    <row r="1530" spans="5:5" x14ac:dyDescent="0.2">
      <c r="E1530" s="26"/>
    </row>
    <row r="1531" spans="5:5" x14ac:dyDescent="0.2">
      <c r="E1531" s="26"/>
    </row>
    <row r="1532" spans="5:5" x14ac:dyDescent="0.2">
      <c r="E1532" s="26"/>
    </row>
    <row r="1533" spans="5:5" x14ac:dyDescent="0.2">
      <c r="E1533" s="26"/>
    </row>
    <row r="1534" spans="5:5" x14ac:dyDescent="0.2">
      <c r="E1534" s="26"/>
    </row>
    <row r="1535" spans="5:5" x14ac:dyDescent="0.2">
      <c r="E1535" s="26"/>
    </row>
    <row r="1536" spans="5:5" x14ac:dyDescent="0.2">
      <c r="E1536" s="26"/>
    </row>
    <row r="1537" spans="5:5" x14ac:dyDescent="0.2">
      <c r="E1537" s="26"/>
    </row>
    <row r="1538" spans="5:5" x14ac:dyDescent="0.2">
      <c r="E1538" s="26"/>
    </row>
    <row r="1539" spans="5:5" x14ac:dyDescent="0.2">
      <c r="E1539" s="26"/>
    </row>
    <row r="1540" spans="5:5" x14ac:dyDescent="0.2">
      <c r="E1540" s="26"/>
    </row>
    <row r="1541" spans="5:5" x14ac:dyDescent="0.2">
      <c r="E1541" s="26"/>
    </row>
    <row r="1542" spans="5:5" x14ac:dyDescent="0.2">
      <c r="E1542" s="26"/>
    </row>
    <row r="1543" spans="5:5" x14ac:dyDescent="0.2">
      <c r="E1543" s="26"/>
    </row>
    <row r="1544" spans="5:5" x14ac:dyDescent="0.2">
      <c r="E1544" s="26"/>
    </row>
    <row r="1545" spans="5:5" x14ac:dyDescent="0.2">
      <c r="E1545" s="26"/>
    </row>
    <row r="1546" spans="5:5" x14ac:dyDescent="0.2">
      <c r="E1546" s="26"/>
    </row>
    <row r="1547" spans="5:5" x14ac:dyDescent="0.2">
      <c r="E1547" s="26"/>
    </row>
    <row r="1548" spans="5:5" x14ac:dyDescent="0.2">
      <c r="E1548" s="26"/>
    </row>
    <row r="1549" spans="5:5" x14ac:dyDescent="0.2">
      <c r="E1549" s="26"/>
    </row>
    <row r="1550" spans="5:5" x14ac:dyDescent="0.2">
      <c r="E1550" s="26"/>
    </row>
    <row r="1551" spans="5:5" x14ac:dyDescent="0.2">
      <c r="E1551" s="26"/>
    </row>
    <row r="1552" spans="5:5" x14ac:dyDescent="0.2">
      <c r="E1552" s="26"/>
    </row>
    <row r="1553" spans="5:5" x14ac:dyDescent="0.2">
      <c r="E1553" s="26"/>
    </row>
    <row r="1554" spans="5:5" x14ac:dyDescent="0.2">
      <c r="E1554" s="26"/>
    </row>
    <row r="1555" spans="5:5" x14ac:dyDescent="0.2">
      <c r="E1555" s="26"/>
    </row>
    <row r="1556" spans="5:5" x14ac:dyDescent="0.2">
      <c r="E1556" s="26"/>
    </row>
    <row r="1557" spans="5:5" x14ac:dyDescent="0.2">
      <c r="E1557" s="26"/>
    </row>
    <row r="1558" spans="5:5" x14ac:dyDescent="0.2">
      <c r="E1558" s="26"/>
    </row>
    <row r="1559" spans="5:5" x14ac:dyDescent="0.2">
      <c r="E1559" s="26"/>
    </row>
    <row r="1560" spans="5:5" x14ac:dyDescent="0.2">
      <c r="E1560" s="26"/>
    </row>
    <row r="1561" spans="5:5" x14ac:dyDescent="0.2">
      <c r="E1561" s="26"/>
    </row>
    <row r="1562" spans="5:5" x14ac:dyDescent="0.2">
      <c r="E1562" s="26"/>
    </row>
    <row r="1563" spans="5:5" x14ac:dyDescent="0.2">
      <c r="E1563" s="26"/>
    </row>
    <row r="1564" spans="5:5" x14ac:dyDescent="0.2">
      <c r="E1564" s="26"/>
    </row>
    <row r="1565" spans="5:5" x14ac:dyDescent="0.2">
      <c r="E1565" s="26"/>
    </row>
    <row r="1566" spans="5:5" x14ac:dyDescent="0.2">
      <c r="E1566" s="26"/>
    </row>
    <row r="1567" spans="5:5" x14ac:dyDescent="0.2">
      <c r="E1567" s="26"/>
    </row>
    <row r="1568" spans="5:5" x14ac:dyDescent="0.2">
      <c r="E1568" s="26"/>
    </row>
    <row r="1569" spans="5:5" x14ac:dyDescent="0.2">
      <c r="E1569" s="26"/>
    </row>
    <row r="1570" spans="5:5" x14ac:dyDescent="0.2">
      <c r="E1570" s="26"/>
    </row>
    <row r="1571" spans="5:5" x14ac:dyDescent="0.2">
      <c r="E1571" s="26"/>
    </row>
    <row r="1572" spans="5:5" x14ac:dyDescent="0.2">
      <c r="E1572" s="26"/>
    </row>
    <row r="1573" spans="5:5" x14ac:dyDescent="0.2">
      <c r="E1573" s="26"/>
    </row>
    <row r="1574" spans="5:5" x14ac:dyDescent="0.2">
      <c r="E1574" s="26"/>
    </row>
    <row r="1575" spans="5:5" x14ac:dyDescent="0.2">
      <c r="E1575" s="26"/>
    </row>
    <row r="1576" spans="5:5" x14ac:dyDescent="0.2">
      <c r="E1576" s="26"/>
    </row>
    <row r="1577" spans="5:5" x14ac:dyDescent="0.2">
      <c r="E1577" s="26"/>
    </row>
    <row r="1578" spans="5:5" x14ac:dyDescent="0.2">
      <c r="E1578" s="26"/>
    </row>
    <row r="1579" spans="5:5" x14ac:dyDescent="0.2">
      <c r="E1579" s="26"/>
    </row>
    <row r="1580" spans="5:5" x14ac:dyDescent="0.2">
      <c r="E1580" s="26"/>
    </row>
    <row r="1581" spans="5:5" x14ac:dyDescent="0.2">
      <c r="E1581" s="26"/>
    </row>
    <row r="1582" spans="5:5" x14ac:dyDescent="0.2">
      <c r="E1582" s="26"/>
    </row>
    <row r="1583" spans="5:5" x14ac:dyDescent="0.2">
      <c r="E1583" s="26"/>
    </row>
    <row r="1584" spans="5:5" x14ac:dyDescent="0.2">
      <c r="E1584" s="26"/>
    </row>
    <row r="1585" spans="5:5" x14ac:dyDescent="0.2">
      <c r="E1585" s="26"/>
    </row>
    <row r="1586" spans="5:5" x14ac:dyDescent="0.2">
      <c r="E1586" s="26"/>
    </row>
    <row r="1587" spans="5:5" x14ac:dyDescent="0.2">
      <c r="E1587" s="26"/>
    </row>
    <row r="1588" spans="5:5" x14ac:dyDescent="0.2">
      <c r="E1588" s="26"/>
    </row>
    <row r="1589" spans="5:5" x14ac:dyDescent="0.2">
      <c r="E1589" s="26"/>
    </row>
    <row r="1590" spans="5:5" x14ac:dyDescent="0.2">
      <c r="E1590" s="26"/>
    </row>
    <row r="1591" spans="5:5" x14ac:dyDescent="0.2">
      <c r="E1591" s="26"/>
    </row>
    <row r="1592" spans="5:5" x14ac:dyDescent="0.2">
      <c r="E1592" s="26"/>
    </row>
    <row r="1593" spans="5:5" x14ac:dyDescent="0.2">
      <c r="E1593" s="26"/>
    </row>
    <row r="1594" spans="5:5" x14ac:dyDescent="0.2">
      <c r="E1594" s="26"/>
    </row>
    <row r="1595" spans="5:5" x14ac:dyDescent="0.2">
      <c r="E1595" s="26"/>
    </row>
    <row r="1596" spans="5:5" x14ac:dyDescent="0.2">
      <c r="E1596" s="26"/>
    </row>
    <row r="1597" spans="5:5" x14ac:dyDescent="0.2">
      <c r="E1597" s="26"/>
    </row>
    <row r="1598" spans="5:5" x14ac:dyDescent="0.2">
      <c r="E1598" s="26"/>
    </row>
    <row r="1599" spans="5:5" x14ac:dyDescent="0.2">
      <c r="E1599" s="26"/>
    </row>
    <row r="1600" spans="5:5" x14ac:dyDescent="0.2">
      <c r="E1600" s="26"/>
    </row>
    <row r="1601" spans="5:5" x14ac:dyDescent="0.2">
      <c r="E1601" s="26"/>
    </row>
    <row r="1602" spans="5:5" x14ac:dyDescent="0.2">
      <c r="E1602" s="26"/>
    </row>
    <row r="1603" spans="5:5" x14ac:dyDescent="0.2">
      <c r="E1603" s="26"/>
    </row>
    <row r="1604" spans="5:5" x14ac:dyDescent="0.2">
      <c r="E1604" s="26"/>
    </row>
    <row r="1605" spans="5:5" x14ac:dyDescent="0.2">
      <c r="E1605" s="26"/>
    </row>
    <row r="1606" spans="5:5" x14ac:dyDescent="0.2">
      <c r="E1606" s="26"/>
    </row>
    <row r="1607" spans="5:5" x14ac:dyDescent="0.2">
      <c r="E1607" s="26"/>
    </row>
    <row r="1608" spans="5:5" x14ac:dyDescent="0.2">
      <c r="E1608" s="26"/>
    </row>
    <row r="1609" spans="5:5" x14ac:dyDescent="0.2">
      <c r="E1609" s="26"/>
    </row>
    <row r="1610" spans="5:5" x14ac:dyDescent="0.2">
      <c r="E1610" s="26"/>
    </row>
    <row r="1611" spans="5:5" x14ac:dyDescent="0.2">
      <c r="E1611" s="26"/>
    </row>
    <row r="1612" spans="5:5" x14ac:dyDescent="0.2">
      <c r="E1612" s="26"/>
    </row>
    <row r="1613" spans="5:5" x14ac:dyDescent="0.2">
      <c r="E1613" s="26"/>
    </row>
    <row r="1614" spans="5:5" x14ac:dyDescent="0.2">
      <c r="E1614" s="26"/>
    </row>
    <row r="1615" spans="5:5" x14ac:dyDescent="0.2">
      <c r="E1615" s="26"/>
    </row>
    <row r="1616" spans="5:5" x14ac:dyDescent="0.2">
      <c r="E1616" s="26"/>
    </row>
    <row r="1617" spans="5:5" x14ac:dyDescent="0.2">
      <c r="E1617" s="26"/>
    </row>
    <row r="1618" spans="5:5" x14ac:dyDescent="0.2">
      <c r="E1618" s="26"/>
    </row>
    <row r="1619" spans="5:5" x14ac:dyDescent="0.2">
      <c r="E1619" s="26"/>
    </row>
    <row r="1620" spans="5:5" x14ac:dyDescent="0.2">
      <c r="E1620" s="26"/>
    </row>
    <row r="1621" spans="5:5" x14ac:dyDescent="0.2">
      <c r="E1621" s="26"/>
    </row>
    <row r="1622" spans="5:5" x14ac:dyDescent="0.2">
      <c r="E1622" s="26"/>
    </row>
    <row r="1623" spans="5:5" x14ac:dyDescent="0.2">
      <c r="E1623" s="26"/>
    </row>
    <row r="1624" spans="5:5" x14ac:dyDescent="0.2">
      <c r="E1624" s="26"/>
    </row>
    <row r="1625" spans="5:5" x14ac:dyDescent="0.2">
      <c r="E1625" s="26"/>
    </row>
    <row r="1626" spans="5:5" x14ac:dyDescent="0.2">
      <c r="E1626" s="26"/>
    </row>
    <row r="1627" spans="5:5" x14ac:dyDescent="0.2">
      <c r="E1627" s="26"/>
    </row>
    <row r="1628" spans="5:5" x14ac:dyDescent="0.2">
      <c r="E1628" s="26"/>
    </row>
    <row r="1629" spans="5:5" x14ac:dyDescent="0.2">
      <c r="E1629" s="26"/>
    </row>
    <row r="1630" spans="5:5" x14ac:dyDescent="0.2">
      <c r="E1630" s="26"/>
    </row>
    <row r="1631" spans="5:5" x14ac:dyDescent="0.2">
      <c r="E1631" s="26"/>
    </row>
    <row r="1632" spans="5:5" x14ac:dyDescent="0.2">
      <c r="E1632" s="26"/>
    </row>
    <row r="1633" spans="5:5" x14ac:dyDescent="0.2">
      <c r="E1633" s="26"/>
    </row>
    <row r="1634" spans="5:5" x14ac:dyDescent="0.2">
      <c r="E1634" s="26"/>
    </row>
    <row r="1635" spans="5:5" x14ac:dyDescent="0.2">
      <c r="E1635" s="26"/>
    </row>
    <row r="1636" spans="5:5" x14ac:dyDescent="0.2">
      <c r="E1636" s="26"/>
    </row>
    <row r="1637" spans="5:5" x14ac:dyDescent="0.2">
      <c r="E1637" s="26"/>
    </row>
    <row r="1638" spans="5:5" x14ac:dyDescent="0.2">
      <c r="E1638" s="26"/>
    </row>
    <row r="1639" spans="5:5" x14ac:dyDescent="0.2">
      <c r="E1639" s="26"/>
    </row>
    <row r="1640" spans="5:5" x14ac:dyDescent="0.2">
      <c r="E1640" s="26"/>
    </row>
    <row r="1641" spans="5:5" x14ac:dyDescent="0.2">
      <c r="E1641" s="26"/>
    </row>
    <row r="1642" spans="5:5" x14ac:dyDescent="0.2">
      <c r="E1642" s="26"/>
    </row>
    <row r="1643" spans="5:5" x14ac:dyDescent="0.2">
      <c r="E1643" s="26"/>
    </row>
    <row r="1644" spans="5:5" x14ac:dyDescent="0.2">
      <c r="E1644" s="26"/>
    </row>
    <row r="1645" spans="5:5" x14ac:dyDescent="0.2">
      <c r="E1645" s="26"/>
    </row>
    <row r="1646" spans="5:5" x14ac:dyDescent="0.2">
      <c r="E1646" s="26"/>
    </row>
    <row r="1647" spans="5:5" x14ac:dyDescent="0.2">
      <c r="E1647" s="26"/>
    </row>
    <row r="1648" spans="5:5" x14ac:dyDescent="0.2">
      <c r="E1648" s="26"/>
    </row>
    <row r="1649" spans="5:5" x14ac:dyDescent="0.2">
      <c r="E1649" s="26"/>
    </row>
    <row r="1650" spans="5:5" x14ac:dyDescent="0.2">
      <c r="E1650" s="26"/>
    </row>
    <row r="1651" spans="5:5" x14ac:dyDescent="0.2">
      <c r="E1651" s="26"/>
    </row>
    <row r="1652" spans="5:5" x14ac:dyDescent="0.2">
      <c r="E1652" s="26"/>
    </row>
    <row r="1653" spans="5:5" x14ac:dyDescent="0.2">
      <c r="E1653" s="26"/>
    </row>
    <row r="1654" spans="5:5" x14ac:dyDescent="0.2">
      <c r="E1654" s="26"/>
    </row>
    <row r="1655" spans="5:5" x14ac:dyDescent="0.2">
      <c r="E1655" s="26"/>
    </row>
    <row r="1656" spans="5:5" x14ac:dyDescent="0.2">
      <c r="E1656" s="26"/>
    </row>
    <row r="1657" spans="5:5" x14ac:dyDescent="0.2">
      <c r="E1657" s="26"/>
    </row>
    <row r="1658" spans="5:5" x14ac:dyDescent="0.2">
      <c r="E1658" s="26"/>
    </row>
    <row r="1659" spans="5:5" x14ac:dyDescent="0.2">
      <c r="E1659" s="26"/>
    </row>
    <row r="1660" spans="5:5" x14ac:dyDescent="0.2">
      <c r="E1660" s="26"/>
    </row>
    <row r="1661" spans="5:5" x14ac:dyDescent="0.2">
      <c r="E1661" s="26"/>
    </row>
    <row r="1662" spans="5:5" x14ac:dyDescent="0.2">
      <c r="E1662" s="26"/>
    </row>
    <row r="1663" spans="5:5" x14ac:dyDescent="0.2">
      <c r="E1663" s="26"/>
    </row>
    <row r="1664" spans="5:5" x14ac:dyDescent="0.2">
      <c r="E1664" s="26"/>
    </row>
    <row r="1665" spans="5:5" x14ac:dyDescent="0.2">
      <c r="E1665" s="26"/>
    </row>
    <row r="1666" spans="5:5" x14ac:dyDescent="0.2">
      <c r="E1666" s="26"/>
    </row>
    <row r="1667" spans="5:5" x14ac:dyDescent="0.2">
      <c r="E1667" s="26"/>
    </row>
    <row r="1668" spans="5:5" x14ac:dyDescent="0.2">
      <c r="E1668" s="26"/>
    </row>
    <row r="1669" spans="5:5" x14ac:dyDescent="0.2">
      <c r="E1669" s="26"/>
    </row>
    <row r="1670" spans="5:5" x14ac:dyDescent="0.2">
      <c r="E1670" s="26"/>
    </row>
    <row r="1671" spans="5:5" x14ac:dyDescent="0.2">
      <c r="E1671" s="26"/>
    </row>
    <row r="1672" spans="5:5" x14ac:dyDescent="0.2">
      <c r="E1672" s="26"/>
    </row>
    <row r="1673" spans="5:5" x14ac:dyDescent="0.2">
      <c r="E1673" s="26"/>
    </row>
    <row r="1674" spans="5:5" x14ac:dyDescent="0.2">
      <c r="E1674" s="26"/>
    </row>
    <row r="1675" spans="5:5" x14ac:dyDescent="0.2">
      <c r="E1675" s="26"/>
    </row>
    <row r="1676" spans="5:5" x14ac:dyDescent="0.2">
      <c r="E1676" s="26"/>
    </row>
    <row r="1677" spans="5:5" x14ac:dyDescent="0.2">
      <c r="E1677" s="26"/>
    </row>
    <row r="1678" spans="5:5" x14ac:dyDescent="0.2">
      <c r="E1678" s="26"/>
    </row>
    <row r="1679" spans="5:5" x14ac:dyDescent="0.2">
      <c r="E1679" s="26"/>
    </row>
    <row r="1680" spans="5:5" x14ac:dyDescent="0.2">
      <c r="E1680" s="26"/>
    </row>
    <row r="1681" spans="5:5" x14ac:dyDescent="0.2">
      <c r="E1681" s="26"/>
    </row>
    <row r="1682" spans="5:5" x14ac:dyDescent="0.2">
      <c r="E1682" s="26"/>
    </row>
    <row r="1683" spans="5:5" x14ac:dyDescent="0.2">
      <c r="E1683" s="26"/>
    </row>
    <row r="1684" spans="5:5" x14ac:dyDescent="0.2">
      <c r="E1684" s="26"/>
    </row>
    <row r="1685" spans="5:5" x14ac:dyDescent="0.2">
      <c r="E1685" s="26"/>
    </row>
    <row r="1686" spans="5:5" x14ac:dyDescent="0.2">
      <c r="E1686" s="26"/>
    </row>
    <row r="1687" spans="5:5" x14ac:dyDescent="0.2">
      <c r="E1687" s="26"/>
    </row>
    <row r="1688" spans="5:5" x14ac:dyDescent="0.2">
      <c r="E1688" s="26"/>
    </row>
    <row r="1689" spans="5:5" x14ac:dyDescent="0.2">
      <c r="E1689" s="26"/>
    </row>
    <row r="1690" spans="5:5" x14ac:dyDescent="0.2">
      <c r="E1690" s="26"/>
    </row>
    <row r="1691" spans="5:5" x14ac:dyDescent="0.2">
      <c r="E1691" s="26"/>
    </row>
    <row r="1692" spans="5:5" x14ac:dyDescent="0.2">
      <c r="E1692" s="26"/>
    </row>
    <row r="1693" spans="5:5" x14ac:dyDescent="0.2">
      <c r="E1693" s="26"/>
    </row>
    <row r="1694" spans="5:5" x14ac:dyDescent="0.2">
      <c r="E1694" s="26"/>
    </row>
    <row r="1695" spans="5:5" x14ac:dyDescent="0.2">
      <c r="E1695" s="26"/>
    </row>
    <row r="1696" spans="5:5" x14ac:dyDescent="0.2">
      <c r="E1696" s="26"/>
    </row>
    <row r="1697" spans="5:5" x14ac:dyDescent="0.2">
      <c r="E1697" s="26"/>
    </row>
    <row r="1698" spans="5:5" x14ac:dyDescent="0.2">
      <c r="E1698" s="26"/>
    </row>
    <row r="1699" spans="5:5" x14ac:dyDescent="0.2">
      <c r="E1699" s="26"/>
    </row>
    <row r="1700" spans="5:5" x14ac:dyDescent="0.2">
      <c r="E1700" s="26"/>
    </row>
    <row r="1701" spans="5:5" x14ac:dyDescent="0.2">
      <c r="E1701" s="26"/>
    </row>
    <row r="1702" spans="5:5" x14ac:dyDescent="0.2">
      <c r="E1702" s="26"/>
    </row>
    <row r="1703" spans="5:5" x14ac:dyDescent="0.2">
      <c r="E1703" s="26"/>
    </row>
    <row r="1704" spans="5:5" x14ac:dyDescent="0.2">
      <c r="E1704" s="26"/>
    </row>
    <row r="1705" spans="5:5" x14ac:dyDescent="0.2">
      <c r="E1705" s="26"/>
    </row>
    <row r="1706" spans="5:5" x14ac:dyDescent="0.2">
      <c r="E1706" s="26"/>
    </row>
    <row r="1707" spans="5:5" x14ac:dyDescent="0.2">
      <c r="E1707" s="26"/>
    </row>
    <row r="1708" spans="5:5" x14ac:dyDescent="0.2">
      <c r="E1708" s="26"/>
    </row>
    <row r="1709" spans="5:5" x14ac:dyDescent="0.2">
      <c r="E1709" s="26"/>
    </row>
    <row r="1710" spans="5:5" x14ac:dyDescent="0.2">
      <c r="E1710" s="26"/>
    </row>
    <row r="1711" spans="5:5" x14ac:dyDescent="0.2">
      <c r="E1711" s="26"/>
    </row>
    <row r="1712" spans="5:5" x14ac:dyDescent="0.2">
      <c r="E1712" s="26"/>
    </row>
    <row r="1713" spans="5:5" x14ac:dyDescent="0.2">
      <c r="E1713" s="26"/>
    </row>
    <row r="1714" spans="5:5" x14ac:dyDescent="0.2">
      <c r="E1714" s="26"/>
    </row>
    <row r="1715" spans="5:5" x14ac:dyDescent="0.2">
      <c r="E1715" s="26"/>
    </row>
    <row r="1716" spans="5:5" x14ac:dyDescent="0.2">
      <c r="E1716" s="26"/>
    </row>
    <row r="1717" spans="5:5" x14ac:dyDescent="0.2">
      <c r="E1717" s="26"/>
    </row>
    <row r="1718" spans="5:5" x14ac:dyDescent="0.2">
      <c r="E1718" s="26"/>
    </row>
    <row r="1719" spans="5:5" x14ac:dyDescent="0.2">
      <c r="E1719" s="26"/>
    </row>
    <row r="1720" spans="5:5" x14ac:dyDescent="0.2">
      <c r="E1720" s="26"/>
    </row>
    <row r="1721" spans="5:5" x14ac:dyDescent="0.2">
      <c r="E1721" s="26"/>
    </row>
    <row r="1722" spans="5:5" x14ac:dyDescent="0.2">
      <c r="E1722" s="26"/>
    </row>
    <row r="1723" spans="5:5" x14ac:dyDescent="0.2">
      <c r="E1723" s="26"/>
    </row>
    <row r="1724" spans="5:5" x14ac:dyDescent="0.2">
      <c r="E1724" s="26"/>
    </row>
    <row r="1725" spans="5:5" x14ac:dyDescent="0.2">
      <c r="E1725" s="26"/>
    </row>
    <row r="1726" spans="5:5" x14ac:dyDescent="0.2">
      <c r="E1726" s="26"/>
    </row>
    <row r="1727" spans="5:5" x14ac:dyDescent="0.2">
      <c r="E1727" s="26"/>
    </row>
    <row r="1728" spans="5:5" x14ac:dyDescent="0.2">
      <c r="E1728" s="26"/>
    </row>
    <row r="1729" spans="5:5" x14ac:dyDescent="0.2">
      <c r="E1729" s="26"/>
    </row>
    <row r="1730" spans="5:5" x14ac:dyDescent="0.2">
      <c r="E1730" s="26"/>
    </row>
    <row r="1731" spans="5:5" x14ac:dyDescent="0.2">
      <c r="E1731" s="26"/>
    </row>
    <row r="1732" spans="5:5" x14ac:dyDescent="0.2">
      <c r="E1732" s="26"/>
    </row>
    <row r="1733" spans="5:5" x14ac:dyDescent="0.2">
      <c r="E1733" s="26"/>
    </row>
    <row r="1734" spans="5:5" x14ac:dyDescent="0.2">
      <c r="E1734" s="26"/>
    </row>
    <row r="1735" spans="5:5" x14ac:dyDescent="0.2">
      <c r="E1735" s="26"/>
    </row>
    <row r="1736" spans="5:5" x14ac:dyDescent="0.2">
      <c r="E1736" s="26"/>
    </row>
    <row r="1737" spans="5:5" x14ac:dyDescent="0.2">
      <c r="E1737" s="26"/>
    </row>
    <row r="1738" spans="5:5" x14ac:dyDescent="0.2">
      <c r="E1738" s="26"/>
    </row>
    <row r="1739" spans="5:5" x14ac:dyDescent="0.2">
      <c r="E1739" s="26"/>
    </row>
    <row r="1740" spans="5:5" x14ac:dyDescent="0.2">
      <c r="E1740" s="26"/>
    </row>
    <row r="1741" spans="5:5" x14ac:dyDescent="0.2">
      <c r="E1741" s="26"/>
    </row>
    <row r="1742" spans="5:5" x14ac:dyDescent="0.2">
      <c r="E1742" s="26"/>
    </row>
    <row r="1743" spans="5:5" x14ac:dyDescent="0.2">
      <c r="E1743" s="26"/>
    </row>
    <row r="1744" spans="5:5" x14ac:dyDescent="0.2">
      <c r="E1744" s="26"/>
    </row>
    <row r="1745" spans="5:5" x14ac:dyDescent="0.2">
      <c r="E1745" s="26"/>
    </row>
    <row r="1746" spans="5:5" x14ac:dyDescent="0.2">
      <c r="E1746" s="26"/>
    </row>
    <row r="1747" spans="5:5" x14ac:dyDescent="0.2">
      <c r="E1747" s="26"/>
    </row>
    <row r="1748" spans="5:5" x14ac:dyDescent="0.2">
      <c r="E1748" s="26"/>
    </row>
    <row r="1749" spans="5:5" x14ac:dyDescent="0.2">
      <c r="E1749" s="26"/>
    </row>
    <row r="1750" spans="5:5" x14ac:dyDescent="0.2">
      <c r="E1750" s="26"/>
    </row>
    <row r="1751" spans="5:5" x14ac:dyDescent="0.2">
      <c r="E1751" s="26"/>
    </row>
    <row r="1752" spans="5:5" x14ac:dyDescent="0.2">
      <c r="E1752" s="26"/>
    </row>
    <row r="1753" spans="5:5" x14ac:dyDescent="0.2">
      <c r="E1753" s="26"/>
    </row>
    <row r="1754" spans="5:5" x14ac:dyDescent="0.2">
      <c r="E1754" s="26"/>
    </row>
    <row r="1755" spans="5:5" x14ac:dyDescent="0.2">
      <c r="E1755" s="26"/>
    </row>
    <row r="1756" spans="5:5" x14ac:dyDescent="0.2">
      <c r="E1756" s="26"/>
    </row>
    <row r="1757" spans="5:5" x14ac:dyDescent="0.2">
      <c r="E1757" s="26"/>
    </row>
    <row r="1758" spans="5:5" x14ac:dyDescent="0.2">
      <c r="E1758" s="26"/>
    </row>
    <row r="1759" spans="5:5" x14ac:dyDescent="0.2">
      <c r="E1759" s="26"/>
    </row>
    <row r="1760" spans="5:5" x14ac:dyDescent="0.2">
      <c r="E1760" s="26"/>
    </row>
    <row r="1761" spans="5:5" x14ac:dyDescent="0.2">
      <c r="E1761" s="26"/>
    </row>
    <row r="1762" spans="5:5" x14ac:dyDescent="0.2">
      <c r="E1762" s="26"/>
    </row>
    <row r="1763" spans="5:5" x14ac:dyDescent="0.2">
      <c r="E1763" s="26"/>
    </row>
    <row r="1764" spans="5:5" x14ac:dyDescent="0.2">
      <c r="E1764" s="26"/>
    </row>
    <row r="1765" spans="5:5" x14ac:dyDescent="0.2">
      <c r="E1765" s="26"/>
    </row>
    <row r="1766" spans="5:5" x14ac:dyDescent="0.2">
      <c r="E1766" s="26"/>
    </row>
    <row r="1767" spans="5:5" x14ac:dyDescent="0.2">
      <c r="E1767" s="26"/>
    </row>
    <row r="1768" spans="5:5" x14ac:dyDescent="0.2">
      <c r="E1768" s="26"/>
    </row>
    <row r="1769" spans="5:5" x14ac:dyDescent="0.2">
      <c r="E1769" s="26"/>
    </row>
    <row r="1770" spans="5:5" x14ac:dyDescent="0.2">
      <c r="E1770" s="26"/>
    </row>
    <row r="1771" spans="5:5" x14ac:dyDescent="0.2">
      <c r="E1771" s="26"/>
    </row>
    <row r="1772" spans="5:5" x14ac:dyDescent="0.2">
      <c r="E1772" s="26"/>
    </row>
    <row r="1773" spans="5:5" x14ac:dyDescent="0.2">
      <c r="E1773" s="26"/>
    </row>
    <row r="1774" spans="5:5" x14ac:dyDescent="0.2">
      <c r="E1774" s="26"/>
    </row>
    <row r="1775" spans="5:5" x14ac:dyDescent="0.2">
      <c r="E1775" s="26"/>
    </row>
    <row r="1776" spans="5:5" x14ac:dyDescent="0.2">
      <c r="E1776" s="26"/>
    </row>
    <row r="1777" spans="5:5" x14ac:dyDescent="0.2">
      <c r="E1777" s="26"/>
    </row>
    <row r="1778" spans="5:5" x14ac:dyDescent="0.2">
      <c r="E1778" s="26"/>
    </row>
    <row r="1779" spans="5:5" x14ac:dyDescent="0.2">
      <c r="E1779" s="26"/>
    </row>
    <row r="1780" spans="5:5" x14ac:dyDescent="0.2">
      <c r="E1780" s="26"/>
    </row>
    <row r="1781" spans="5:5" x14ac:dyDescent="0.2">
      <c r="E1781" s="26"/>
    </row>
    <row r="1782" spans="5:5" x14ac:dyDescent="0.2">
      <c r="E1782" s="26"/>
    </row>
    <row r="1783" spans="5:5" x14ac:dyDescent="0.2">
      <c r="E1783" s="26"/>
    </row>
    <row r="1784" spans="5:5" x14ac:dyDescent="0.2">
      <c r="E1784" s="26"/>
    </row>
    <row r="1785" spans="5:5" x14ac:dyDescent="0.2">
      <c r="E1785" s="26"/>
    </row>
    <row r="1786" spans="5:5" x14ac:dyDescent="0.2">
      <c r="E1786" s="26"/>
    </row>
    <row r="1787" spans="5:5" x14ac:dyDescent="0.2">
      <c r="E1787" s="26"/>
    </row>
    <row r="1788" spans="5:5" x14ac:dyDescent="0.2">
      <c r="E1788" s="26"/>
    </row>
    <row r="1789" spans="5:5" x14ac:dyDescent="0.2">
      <c r="E1789" s="26"/>
    </row>
    <row r="1790" spans="5:5" x14ac:dyDescent="0.2">
      <c r="E1790" s="26"/>
    </row>
    <row r="1791" spans="5:5" x14ac:dyDescent="0.2">
      <c r="E1791" s="26"/>
    </row>
    <row r="1792" spans="5:5" x14ac:dyDescent="0.2">
      <c r="E1792" s="26"/>
    </row>
    <row r="1793" spans="5:5" x14ac:dyDescent="0.2">
      <c r="E1793" s="26"/>
    </row>
    <row r="1794" spans="5:5" x14ac:dyDescent="0.2">
      <c r="E1794" s="26"/>
    </row>
    <row r="1795" spans="5:5" x14ac:dyDescent="0.2">
      <c r="E1795" s="26"/>
    </row>
    <row r="1796" spans="5:5" x14ac:dyDescent="0.2">
      <c r="E1796" s="26"/>
    </row>
    <row r="1797" spans="5:5" x14ac:dyDescent="0.2">
      <c r="E1797" s="26"/>
    </row>
    <row r="1798" spans="5:5" x14ac:dyDescent="0.2">
      <c r="E1798" s="26"/>
    </row>
    <row r="1799" spans="5:5" x14ac:dyDescent="0.2">
      <c r="E1799" s="26"/>
    </row>
    <row r="1800" spans="5:5" x14ac:dyDescent="0.2">
      <c r="E1800" s="26"/>
    </row>
    <row r="1801" spans="5:5" x14ac:dyDescent="0.2">
      <c r="E1801" s="26"/>
    </row>
    <row r="1802" spans="5:5" x14ac:dyDescent="0.2">
      <c r="E1802" s="26"/>
    </row>
    <row r="1803" spans="5:5" x14ac:dyDescent="0.2">
      <c r="E1803" s="26"/>
    </row>
    <row r="1804" spans="5:5" x14ac:dyDescent="0.2">
      <c r="E1804" s="26"/>
    </row>
    <row r="1805" spans="5:5" x14ac:dyDescent="0.2">
      <c r="E1805" s="26"/>
    </row>
    <row r="1806" spans="5:5" x14ac:dyDescent="0.2">
      <c r="E1806" s="26"/>
    </row>
    <row r="1807" spans="5:5" x14ac:dyDescent="0.2">
      <c r="E1807" s="26"/>
    </row>
    <row r="1808" spans="5:5" x14ac:dyDescent="0.2">
      <c r="E1808" s="26"/>
    </row>
    <row r="1809" spans="5:5" x14ac:dyDescent="0.2">
      <c r="E1809" s="26"/>
    </row>
    <row r="1810" spans="5:5" x14ac:dyDescent="0.2">
      <c r="E1810" s="26"/>
    </row>
    <row r="1811" spans="5:5" x14ac:dyDescent="0.2">
      <c r="E1811" s="26"/>
    </row>
    <row r="1812" spans="5:5" x14ac:dyDescent="0.2">
      <c r="E1812" s="26"/>
    </row>
    <row r="1813" spans="5:5" x14ac:dyDescent="0.2">
      <c r="E1813" s="26"/>
    </row>
    <row r="1814" spans="5:5" x14ac:dyDescent="0.2">
      <c r="E1814" s="26"/>
    </row>
    <row r="1815" spans="5:5" x14ac:dyDescent="0.2">
      <c r="E1815" s="26"/>
    </row>
    <row r="1816" spans="5:5" x14ac:dyDescent="0.2">
      <c r="E1816" s="26"/>
    </row>
    <row r="1817" spans="5:5" x14ac:dyDescent="0.2">
      <c r="E1817" s="26"/>
    </row>
    <row r="1818" spans="5:5" x14ac:dyDescent="0.2">
      <c r="E1818" s="26"/>
    </row>
    <row r="1819" spans="5:5" x14ac:dyDescent="0.2">
      <c r="E1819" s="26"/>
    </row>
    <row r="1820" spans="5:5" x14ac:dyDescent="0.2">
      <c r="E1820" s="26"/>
    </row>
    <row r="1821" spans="5:5" x14ac:dyDescent="0.2">
      <c r="E1821" s="26"/>
    </row>
    <row r="1822" spans="5:5" x14ac:dyDescent="0.2">
      <c r="E1822" s="26"/>
    </row>
    <row r="1823" spans="5:5" x14ac:dyDescent="0.2">
      <c r="E1823" s="26"/>
    </row>
    <row r="1824" spans="5:5" x14ac:dyDescent="0.2">
      <c r="E1824" s="26"/>
    </row>
    <row r="1825" spans="5:5" x14ac:dyDescent="0.2">
      <c r="E1825" s="26"/>
    </row>
    <row r="1826" spans="5:5" x14ac:dyDescent="0.2">
      <c r="E1826" s="26"/>
    </row>
    <row r="1827" spans="5:5" x14ac:dyDescent="0.2">
      <c r="E1827" s="26"/>
    </row>
    <row r="1828" spans="5:5" x14ac:dyDescent="0.2">
      <c r="E1828" s="26"/>
    </row>
    <row r="1829" spans="5:5" x14ac:dyDescent="0.2">
      <c r="E1829" s="26"/>
    </row>
    <row r="1830" spans="5:5" x14ac:dyDescent="0.2">
      <c r="E1830" s="26"/>
    </row>
    <row r="1831" spans="5:5" x14ac:dyDescent="0.2">
      <c r="E1831" s="26"/>
    </row>
    <row r="1832" spans="5:5" x14ac:dyDescent="0.2">
      <c r="E1832" s="26"/>
    </row>
    <row r="1833" spans="5:5" x14ac:dyDescent="0.2">
      <c r="E1833" s="26"/>
    </row>
    <row r="1834" spans="5:5" x14ac:dyDescent="0.2">
      <c r="E1834" s="26"/>
    </row>
    <row r="1835" spans="5:5" x14ac:dyDescent="0.2">
      <c r="E1835" s="26"/>
    </row>
    <row r="1836" spans="5:5" x14ac:dyDescent="0.2">
      <c r="E1836" s="26"/>
    </row>
    <row r="1837" spans="5:5" x14ac:dyDescent="0.2">
      <c r="E1837" s="26"/>
    </row>
    <row r="1838" spans="5:5" x14ac:dyDescent="0.2">
      <c r="E1838" s="26"/>
    </row>
    <row r="1839" spans="5:5" x14ac:dyDescent="0.2">
      <c r="E1839" s="26"/>
    </row>
    <row r="1840" spans="5:5" x14ac:dyDescent="0.2">
      <c r="E1840" s="26"/>
    </row>
    <row r="1841" spans="5:5" x14ac:dyDescent="0.2">
      <c r="E1841" s="26"/>
    </row>
    <row r="1842" spans="5:5" x14ac:dyDescent="0.2">
      <c r="E1842" s="26"/>
    </row>
    <row r="1843" spans="5:5" x14ac:dyDescent="0.2">
      <c r="E1843" s="26"/>
    </row>
    <row r="1844" spans="5:5" x14ac:dyDescent="0.2">
      <c r="E1844" s="26"/>
    </row>
    <row r="1845" spans="5:5" x14ac:dyDescent="0.2">
      <c r="E1845" s="26"/>
    </row>
    <row r="1846" spans="5:5" x14ac:dyDescent="0.2">
      <c r="E1846" s="26"/>
    </row>
    <row r="1847" spans="5:5" x14ac:dyDescent="0.2">
      <c r="E1847" s="26"/>
    </row>
    <row r="1848" spans="5:5" x14ac:dyDescent="0.2">
      <c r="E1848" s="26"/>
    </row>
    <row r="1849" spans="5:5" x14ac:dyDescent="0.2">
      <c r="E1849" s="26"/>
    </row>
    <row r="1850" spans="5:5" x14ac:dyDescent="0.2">
      <c r="E1850" s="26"/>
    </row>
    <row r="1851" spans="5:5" x14ac:dyDescent="0.2">
      <c r="E1851" s="26"/>
    </row>
    <row r="1852" spans="5:5" x14ac:dyDescent="0.2">
      <c r="E1852" s="26"/>
    </row>
    <row r="1853" spans="5:5" x14ac:dyDescent="0.2">
      <c r="E1853" s="26"/>
    </row>
    <row r="1854" spans="5:5" x14ac:dyDescent="0.2">
      <c r="E1854" s="26"/>
    </row>
    <row r="1855" spans="5:5" x14ac:dyDescent="0.2">
      <c r="E1855" s="26"/>
    </row>
    <row r="1856" spans="5:5" x14ac:dyDescent="0.2">
      <c r="E1856" s="26"/>
    </row>
    <row r="1857" spans="5:5" x14ac:dyDescent="0.2">
      <c r="E1857" s="26"/>
    </row>
    <row r="1858" spans="5:5" x14ac:dyDescent="0.2">
      <c r="E1858" s="26"/>
    </row>
    <row r="1859" spans="5:5" x14ac:dyDescent="0.2">
      <c r="E1859" s="26"/>
    </row>
    <row r="1860" spans="5:5" x14ac:dyDescent="0.2">
      <c r="E1860" s="26"/>
    </row>
    <row r="1861" spans="5:5" x14ac:dyDescent="0.2">
      <c r="E1861" s="26"/>
    </row>
    <row r="1862" spans="5:5" x14ac:dyDescent="0.2">
      <c r="E1862" s="26"/>
    </row>
    <row r="1863" spans="5:5" x14ac:dyDescent="0.2">
      <c r="E1863" s="26"/>
    </row>
    <row r="1864" spans="5:5" x14ac:dyDescent="0.2">
      <c r="E1864" s="26"/>
    </row>
    <row r="1865" spans="5:5" x14ac:dyDescent="0.2">
      <c r="E1865" s="26"/>
    </row>
    <row r="1866" spans="5:5" x14ac:dyDescent="0.2">
      <c r="E1866" s="26"/>
    </row>
    <row r="1867" spans="5:5" x14ac:dyDescent="0.2">
      <c r="E1867" s="26"/>
    </row>
    <row r="1868" spans="5:5" x14ac:dyDescent="0.2">
      <c r="E1868" s="26"/>
    </row>
    <row r="1869" spans="5:5" x14ac:dyDescent="0.2">
      <c r="E1869" s="26"/>
    </row>
    <row r="1870" spans="5:5" x14ac:dyDescent="0.2">
      <c r="E1870" s="26"/>
    </row>
    <row r="1871" spans="5:5" x14ac:dyDescent="0.2">
      <c r="E1871" s="26"/>
    </row>
    <row r="1872" spans="5:5" x14ac:dyDescent="0.2">
      <c r="E1872" s="26"/>
    </row>
    <row r="1873" spans="5:5" x14ac:dyDescent="0.2">
      <c r="E1873" s="26"/>
    </row>
    <row r="1874" spans="5:5" x14ac:dyDescent="0.2">
      <c r="E1874" s="26"/>
    </row>
    <row r="1875" spans="5:5" x14ac:dyDescent="0.2">
      <c r="E1875" s="26"/>
    </row>
    <row r="1876" spans="5:5" x14ac:dyDescent="0.2">
      <c r="E1876" s="26"/>
    </row>
    <row r="1877" spans="5:5" x14ac:dyDescent="0.2">
      <c r="E1877" s="26"/>
    </row>
    <row r="1878" spans="5:5" x14ac:dyDescent="0.2">
      <c r="E1878" s="26"/>
    </row>
    <row r="1879" spans="5:5" x14ac:dyDescent="0.2">
      <c r="E1879" s="26"/>
    </row>
    <row r="1880" spans="5:5" x14ac:dyDescent="0.2">
      <c r="E1880" s="26"/>
    </row>
    <row r="1881" spans="5:5" x14ac:dyDescent="0.2">
      <c r="E1881" s="26"/>
    </row>
    <row r="1882" spans="5:5" x14ac:dyDescent="0.2">
      <c r="E1882" s="26"/>
    </row>
    <row r="1883" spans="5:5" x14ac:dyDescent="0.2">
      <c r="E1883" s="26"/>
    </row>
    <row r="1884" spans="5:5" x14ac:dyDescent="0.2">
      <c r="E1884" s="26"/>
    </row>
    <row r="1885" spans="5:5" x14ac:dyDescent="0.2">
      <c r="E1885" s="26"/>
    </row>
    <row r="1886" spans="5:5" x14ac:dyDescent="0.2">
      <c r="E1886" s="26"/>
    </row>
    <row r="1887" spans="5:5" x14ac:dyDescent="0.2">
      <c r="E1887" s="26"/>
    </row>
    <row r="1888" spans="5:5" x14ac:dyDescent="0.2">
      <c r="E1888" s="26"/>
    </row>
    <row r="1889" spans="5:5" x14ac:dyDescent="0.2">
      <c r="E1889" s="26"/>
    </row>
    <row r="1890" spans="5:5" x14ac:dyDescent="0.2">
      <c r="E1890" s="26"/>
    </row>
    <row r="1891" spans="5:5" x14ac:dyDescent="0.2">
      <c r="E1891" s="26"/>
    </row>
    <row r="1892" spans="5:5" x14ac:dyDescent="0.2">
      <c r="E1892" s="26"/>
    </row>
    <row r="1893" spans="5:5" x14ac:dyDescent="0.2">
      <c r="E1893" s="26"/>
    </row>
    <row r="1894" spans="5:5" x14ac:dyDescent="0.2">
      <c r="E1894" s="26"/>
    </row>
    <row r="1895" spans="5:5" x14ac:dyDescent="0.2">
      <c r="E1895" s="26"/>
    </row>
    <row r="1896" spans="5:5" x14ac:dyDescent="0.2">
      <c r="E1896" s="26"/>
    </row>
    <row r="1897" spans="5:5" x14ac:dyDescent="0.2">
      <c r="E1897" s="26"/>
    </row>
    <row r="1898" spans="5:5" x14ac:dyDescent="0.2">
      <c r="E1898" s="26"/>
    </row>
    <row r="1899" spans="5:5" x14ac:dyDescent="0.2">
      <c r="E1899" s="26"/>
    </row>
    <row r="1900" spans="5:5" x14ac:dyDescent="0.2">
      <c r="E1900" s="26"/>
    </row>
    <row r="1901" spans="5:5" x14ac:dyDescent="0.2">
      <c r="E1901" s="26"/>
    </row>
    <row r="1902" spans="5:5" x14ac:dyDescent="0.2">
      <c r="E1902" s="26"/>
    </row>
    <row r="1903" spans="5:5" x14ac:dyDescent="0.2">
      <c r="E1903" s="26"/>
    </row>
    <row r="1904" spans="5:5" x14ac:dyDescent="0.2">
      <c r="E1904" s="26"/>
    </row>
    <row r="1905" spans="5:5" x14ac:dyDescent="0.2">
      <c r="E1905" s="26"/>
    </row>
    <row r="1906" spans="5:5" x14ac:dyDescent="0.2">
      <c r="E1906" s="26"/>
    </row>
    <row r="1907" spans="5:5" x14ac:dyDescent="0.2">
      <c r="E1907" s="26"/>
    </row>
    <row r="1908" spans="5:5" x14ac:dyDescent="0.2">
      <c r="E1908" s="26"/>
    </row>
    <row r="1909" spans="5:5" x14ac:dyDescent="0.2">
      <c r="E1909" s="26"/>
    </row>
    <row r="1910" spans="5:5" x14ac:dyDescent="0.2">
      <c r="E1910" s="26"/>
    </row>
    <row r="1911" spans="5:5" x14ac:dyDescent="0.2">
      <c r="E1911" s="26"/>
    </row>
    <row r="1912" spans="5:5" x14ac:dyDescent="0.2">
      <c r="E1912" s="26"/>
    </row>
    <row r="1913" spans="5:5" x14ac:dyDescent="0.2">
      <c r="E1913" s="26"/>
    </row>
    <row r="1914" spans="5:5" x14ac:dyDescent="0.2">
      <c r="E1914" s="26"/>
    </row>
    <row r="1915" spans="5:5" x14ac:dyDescent="0.2">
      <c r="E1915" s="26"/>
    </row>
    <row r="1916" spans="5:5" x14ac:dyDescent="0.2">
      <c r="E1916" s="26"/>
    </row>
    <row r="1917" spans="5:5" x14ac:dyDescent="0.2">
      <c r="E1917" s="26"/>
    </row>
    <row r="1918" spans="5:5" x14ac:dyDescent="0.2">
      <c r="E1918" s="26"/>
    </row>
    <row r="1919" spans="5:5" x14ac:dyDescent="0.2">
      <c r="E1919" s="26"/>
    </row>
    <row r="1920" spans="5:5" x14ac:dyDescent="0.2">
      <c r="E1920" s="26"/>
    </row>
    <row r="1921" spans="5:5" x14ac:dyDescent="0.2">
      <c r="E1921" s="26"/>
    </row>
    <row r="1922" spans="5:5" x14ac:dyDescent="0.2">
      <c r="E1922" s="26"/>
    </row>
    <row r="1923" spans="5:5" x14ac:dyDescent="0.2">
      <c r="E1923" s="26"/>
    </row>
    <row r="1924" spans="5:5" x14ac:dyDescent="0.2">
      <c r="E1924" s="26"/>
    </row>
    <row r="1925" spans="5:5" x14ac:dyDescent="0.2">
      <c r="E1925" s="26"/>
    </row>
    <row r="1926" spans="5:5" x14ac:dyDescent="0.2">
      <c r="E1926" s="26"/>
    </row>
    <row r="1927" spans="5:5" x14ac:dyDescent="0.2">
      <c r="E1927" s="26"/>
    </row>
    <row r="1928" spans="5:5" x14ac:dyDescent="0.2">
      <c r="E1928" s="26"/>
    </row>
    <row r="1929" spans="5:5" x14ac:dyDescent="0.2">
      <c r="E1929" s="26"/>
    </row>
    <row r="1930" spans="5:5" x14ac:dyDescent="0.2">
      <c r="E1930" s="26"/>
    </row>
    <row r="1931" spans="5:5" x14ac:dyDescent="0.2">
      <c r="E1931" s="26"/>
    </row>
    <row r="1932" spans="5:5" x14ac:dyDescent="0.2">
      <c r="E1932" s="26"/>
    </row>
    <row r="1933" spans="5:5" x14ac:dyDescent="0.2">
      <c r="E1933" s="26"/>
    </row>
    <row r="1934" spans="5:5" x14ac:dyDescent="0.2">
      <c r="E1934" s="26"/>
    </row>
    <row r="1935" spans="5:5" x14ac:dyDescent="0.2">
      <c r="E1935" s="26"/>
    </row>
    <row r="1936" spans="5:5" x14ac:dyDescent="0.2">
      <c r="E1936" s="26"/>
    </row>
    <row r="1937" spans="5:5" x14ac:dyDescent="0.2">
      <c r="E1937" s="26"/>
    </row>
    <row r="1938" spans="5:5" x14ac:dyDescent="0.2">
      <c r="E1938" s="26"/>
    </row>
    <row r="1939" spans="5:5" x14ac:dyDescent="0.2">
      <c r="E1939" s="26"/>
    </row>
    <row r="1940" spans="5:5" x14ac:dyDescent="0.2">
      <c r="E1940" s="26"/>
    </row>
    <row r="1941" spans="5:5" x14ac:dyDescent="0.2">
      <c r="E1941" s="26"/>
    </row>
    <row r="1942" spans="5:5" x14ac:dyDescent="0.2">
      <c r="E1942" s="26"/>
    </row>
    <row r="1943" spans="5:5" x14ac:dyDescent="0.2">
      <c r="E1943" s="26"/>
    </row>
    <row r="1944" spans="5:5" x14ac:dyDescent="0.2">
      <c r="E1944" s="26"/>
    </row>
    <row r="1945" spans="5:5" x14ac:dyDescent="0.2">
      <c r="E1945" s="26"/>
    </row>
    <row r="1946" spans="5:5" x14ac:dyDescent="0.2">
      <c r="E1946" s="26"/>
    </row>
    <row r="1947" spans="5:5" x14ac:dyDescent="0.2">
      <c r="E1947" s="26"/>
    </row>
    <row r="1948" spans="5:5" x14ac:dyDescent="0.2">
      <c r="E1948" s="26"/>
    </row>
    <row r="1949" spans="5:5" x14ac:dyDescent="0.2">
      <c r="E1949" s="26"/>
    </row>
    <row r="1950" spans="5:5" x14ac:dyDescent="0.2">
      <c r="E1950" s="26"/>
    </row>
    <row r="1951" spans="5:5" x14ac:dyDescent="0.2">
      <c r="E1951" s="26"/>
    </row>
    <row r="1952" spans="5:5" x14ac:dyDescent="0.2">
      <c r="E1952" s="26"/>
    </row>
    <row r="1953" spans="5:5" x14ac:dyDescent="0.2">
      <c r="E1953" s="26"/>
    </row>
    <row r="1954" spans="5:5" x14ac:dyDescent="0.2">
      <c r="E1954" s="26"/>
    </row>
    <row r="1955" spans="5:5" x14ac:dyDescent="0.2">
      <c r="E1955" s="26"/>
    </row>
    <row r="1956" spans="5:5" x14ac:dyDescent="0.2">
      <c r="E1956" s="26"/>
    </row>
    <row r="1957" spans="5:5" x14ac:dyDescent="0.2">
      <c r="E1957" s="26"/>
    </row>
    <row r="1958" spans="5:5" x14ac:dyDescent="0.2">
      <c r="E1958" s="26"/>
    </row>
    <row r="1959" spans="5:5" x14ac:dyDescent="0.2">
      <c r="E1959" s="26"/>
    </row>
    <row r="1960" spans="5:5" x14ac:dyDescent="0.2">
      <c r="E1960" s="26"/>
    </row>
    <row r="1961" spans="5:5" x14ac:dyDescent="0.2">
      <c r="E1961" s="26"/>
    </row>
    <row r="1962" spans="5:5" x14ac:dyDescent="0.2">
      <c r="E1962" s="26"/>
    </row>
    <row r="1963" spans="5:5" x14ac:dyDescent="0.2">
      <c r="E1963" s="26"/>
    </row>
    <row r="1964" spans="5:5" x14ac:dyDescent="0.2">
      <c r="E1964" s="26"/>
    </row>
    <row r="1965" spans="5:5" x14ac:dyDescent="0.2">
      <c r="E1965" s="26"/>
    </row>
    <row r="1966" spans="5:5" x14ac:dyDescent="0.2">
      <c r="E1966" s="26"/>
    </row>
    <row r="1967" spans="5:5" x14ac:dyDescent="0.2">
      <c r="E1967" s="26"/>
    </row>
    <row r="1968" spans="5:5" x14ac:dyDescent="0.2">
      <c r="E1968" s="26"/>
    </row>
    <row r="1969" spans="5:5" x14ac:dyDescent="0.2">
      <c r="E1969" s="26"/>
    </row>
    <row r="1970" spans="5:5" x14ac:dyDescent="0.2">
      <c r="E1970" s="26"/>
    </row>
    <row r="1971" spans="5:5" x14ac:dyDescent="0.2">
      <c r="E1971" s="26"/>
    </row>
    <row r="1972" spans="5:5" x14ac:dyDescent="0.2">
      <c r="E1972" s="26"/>
    </row>
    <row r="1973" spans="5:5" x14ac:dyDescent="0.2">
      <c r="E1973" s="26"/>
    </row>
    <row r="1974" spans="5:5" x14ac:dyDescent="0.2">
      <c r="E1974" s="26"/>
    </row>
    <row r="1975" spans="5:5" x14ac:dyDescent="0.2">
      <c r="E1975" s="26"/>
    </row>
    <row r="1976" spans="5:5" x14ac:dyDescent="0.2">
      <c r="E1976" s="26"/>
    </row>
    <row r="1977" spans="5:5" x14ac:dyDescent="0.2">
      <c r="E1977" s="26"/>
    </row>
    <row r="1978" spans="5:5" x14ac:dyDescent="0.2">
      <c r="E1978" s="26"/>
    </row>
    <row r="1979" spans="5:5" x14ac:dyDescent="0.2">
      <c r="E1979" s="26"/>
    </row>
    <row r="1980" spans="5:5" x14ac:dyDescent="0.2">
      <c r="E1980" s="26"/>
    </row>
    <row r="1981" spans="5:5" x14ac:dyDescent="0.2">
      <c r="E1981" s="26"/>
    </row>
    <row r="1982" spans="5:5" x14ac:dyDescent="0.2">
      <c r="E1982" s="26"/>
    </row>
    <row r="1983" spans="5:5" x14ac:dyDescent="0.2">
      <c r="E1983" s="26"/>
    </row>
    <row r="1984" spans="5:5" x14ac:dyDescent="0.2">
      <c r="E1984" s="26"/>
    </row>
    <row r="1985" spans="5:5" x14ac:dyDescent="0.2">
      <c r="E1985" s="26"/>
    </row>
    <row r="1986" spans="5:5" x14ac:dyDescent="0.2">
      <c r="E1986" s="26"/>
    </row>
    <row r="1987" spans="5:5" x14ac:dyDescent="0.2">
      <c r="E1987" s="26"/>
    </row>
    <row r="1988" spans="5:5" x14ac:dyDescent="0.2">
      <c r="E1988" s="26"/>
    </row>
    <row r="1989" spans="5:5" x14ac:dyDescent="0.2">
      <c r="E1989" s="26"/>
    </row>
    <row r="1990" spans="5:5" x14ac:dyDescent="0.2">
      <c r="E1990" s="26"/>
    </row>
    <row r="1991" spans="5:5" x14ac:dyDescent="0.2">
      <c r="E1991" s="26"/>
    </row>
    <row r="1992" spans="5:5" x14ac:dyDescent="0.2">
      <c r="E1992" s="26"/>
    </row>
    <row r="1993" spans="5:5" x14ac:dyDescent="0.2">
      <c r="E1993" s="26"/>
    </row>
    <row r="1994" spans="5:5" x14ac:dyDescent="0.2">
      <c r="E1994" s="26"/>
    </row>
    <row r="1995" spans="5:5" x14ac:dyDescent="0.2">
      <c r="E1995" s="26"/>
    </row>
    <row r="1996" spans="5:5" x14ac:dyDescent="0.2">
      <c r="E1996" s="26"/>
    </row>
    <row r="1997" spans="5:5" x14ac:dyDescent="0.2">
      <c r="E1997" s="26"/>
    </row>
    <row r="1998" spans="5:5" x14ac:dyDescent="0.2">
      <c r="E1998" s="26"/>
    </row>
    <row r="1999" spans="5:5" x14ac:dyDescent="0.2">
      <c r="E1999" s="26"/>
    </row>
    <row r="2000" spans="5:5" x14ac:dyDescent="0.2">
      <c r="E2000" s="26"/>
    </row>
    <row r="2001" spans="5:5" x14ac:dyDescent="0.2">
      <c r="E2001" s="26"/>
    </row>
    <row r="2002" spans="5:5" x14ac:dyDescent="0.2">
      <c r="E2002" s="26"/>
    </row>
    <row r="2003" spans="5:5" x14ac:dyDescent="0.2">
      <c r="E2003" s="26"/>
    </row>
    <row r="2004" spans="5:5" x14ac:dyDescent="0.2">
      <c r="E2004" s="26"/>
    </row>
    <row r="2005" spans="5:5" x14ac:dyDescent="0.2">
      <c r="E2005" s="26"/>
    </row>
    <row r="2006" spans="5:5" x14ac:dyDescent="0.2">
      <c r="E2006" s="26"/>
    </row>
    <row r="2007" spans="5:5" x14ac:dyDescent="0.2">
      <c r="E2007" s="26"/>
    </row>
    <row r="2008" spans="5:5" x14ac:dyDescent="0.2">
      <c r="E2008" s="26"/>
    </row>
    <row r="2009" spans="5:5" x14ac:dyDescent="0.2">
      <c r="E2009" s="26"/>
    </row>
    <row r="2010" spans="5:5" x14ac:dyDescent="0.2">
      <c r="E2010" s="26"/>
    </row>
    <row r="2011" spans="5:5" x14ac:dyDescent="0.2">
      <c r="E2011" s="26"/>
    </row>
    <row r="2012" spans="5:5" x14ac:dyDescent="0.2">
      <c r="E2012" s="26"/>
    </row>
    <row r="2013" spans="5:5" x14ac:dyDescent="0.2">
      <c r="E2013" s="26"/>
    </row>
    <row r="2014" spans="5:5" x14ac:dyDescent="0.2">
      <c r="E2014" s="26"/>
    </row>
    <row r="2015" spans="5:5" x14ac:dyDescent="0.2">
      <c r="E2015" s="26"/>
    </row>
    <row r="2016" spans="5:5" x14ac:dyDescent="0.2">
      <c r="E2016" s="26"/>
    </row>
    <row r="2017" spans="5:5" x14ac:dyDescent="0.2">
      <c r="E2017" s="26"/>
    </row>
    <row r="2018" spans="5:5" x14ac:dyDescent="0.2">
      <c r="E2018" s="26"/>
    </row>
    <row r="2019" spans="5:5" x14ac:dyDescent="0.2">
      <c r="E2019" s="26"/>
    </row>
    <row r="2020" spans="5:5" x14ac:dyDescent="0.2">
      <c r="E2020" s="26"/>
    </row>
    <row r="2021" spans="5:5" x14ac:dyDescent="0.2">
      <c r="E2021" s="26"/>
    </row>
    <row r="2022" spans="5:5" x14ac:dyDescent="0.2">
      <c r="E2022" s="26"/>
    </row>
    <row r="2023" spans="5:5" x14ac:dyDescent="0.2">
      <c r="E2023" s="26"/>
    </row>
    <row r="2024" spans="5:5" x14ac:dyDescent="0.2">
      <c r="E2024" s="26"/>
    </row>
    <row r="2025" spans="5:5" x14ac:dyDescent="0.2">
      <c r="E2025" s="26"/>
    </row>
    <row r="2026" spans="5:5" x14ac:dyDescent="0.2">
      <c r="E2026" s="26"/>
    </row>
    <row r="2027" spans="5:5" x14ac:dyDescent="0.2">
      <c r="E2027" s="26"/>
    </row>
    <row r="2028" spans="5:5" x14ac:dyDescent="0.2">
      <c r="E2028" s="26"/>
    </row>
    <row r="2029" spans="5:5" x14ac:dyDescent="0.2">
      <c r="E2029" s="26"/>
    </row>
    <row r="2030" spans="5:5" x14ac:dyDescent="0.2">
      <c r="E2030" s="26"/>
    </row>
    <row r="2031" spans="5:5" x14ac:dyDescent="0.2">
      <c r="E2031" s="26"/>
    </row>
    <row r="2032" spans="5:5" x14ac:dyDescent="0.2">
      <c r="E2032" s="26"/>
    </row>
    <row r="2033" spans="5:5" x14ac:dyDescent="0.2">
      <c r="E2033" s="26"/>
    </row>
    <row r="2034" spans="5:5" x14ac:dyDescent="0.2">
      <c r="E2034" s="26"/>
    </row>
    <row r="2035" spans="5:5" x14ac:dyDescent="0.2">
      <c r="E2035" s="26"/>
    </row>
    <row r="2036" spans="5:5" x14ac:dyDescent="0.2">
      <c r="E2036" s="26"/>
    </row>
    <row r="2037" spans="5:5" x14ac:dyDescent="0.2">
      <c r="E2037" s="26"/>
    </row>
    <row r="2038" spans="5:5" x14ac:dyDescent="0.2">
      <c r="E2038" s="26"/>
    </row>
    <row r="2039" spans="5:5" x14ac:dyDescent="0.2">
      <c r="E2039" s="26"/>
    </row>
    <row r="2040" spans="5:5" x14ac:dyDescent="0.2">
      <c r="E2040" s="26"/>
    </row>
    <row r="2041" spans="5:5" x14ac:dyDescent="0.2">
      <c r="E2041" s="26"/>
    </row>
    <row r="2042" spans="5:5" x14ac:dyDescent="0.2">
      <c r="E2042" s="26"/>
    </row>
    <row r="2043" spans="5:5" x14ac:dyDescent="0.2">
      <c r="E2043" s="26"/>
    </row>
    <row r="2044" spans="5:5" x14ac:dyDescent="0.2">
      <c r="E2044" s="26"/>
    </row>
    <row r="2045" spans="5:5" x14ac:dyDescent="0.2">
      <c r="E2045" s="26"/>
    </row>
    <row r="2046" spans="5:5" x14ac:dyDescent="0.2">
      <c r="E2046" s="26"/>
    </row>
    <row r="2047" spans="5:5" x14ac:dyDescent="0.2">
      <c r="E2047" s="26"/>
    </row>
    <row r="2048" spans="5:5" x14ac:dyDescent="0.2">
      <c r="E2048" s="26"/>
    </row>
    <row r="2049" spans="5:5" x14ac:dyDescent="0.2">
      <c r="E2049" s="26"/>
    </row>
    <row r="2050" spans="5:5" x14ac:dyDescent="0.2">
      <c r="E2050" s="26"/>
    </row>
    <row r="2051" spans="5:5" x14ac:dyDescent="0.2">
      <c r="E2051" s="26"/>
    </row>
    <row r="2052" spans="5:5" x14ac:dyDescent="0.2">
      <c r="E2052" s="26"/>
    </row>
    <row r="2053" spans="5:5" x14ac:dyDescent="0.2">
      <c r="E2053" s="26"/>
    </row>
    <row r="2054" spans="5:5" x14ac:dyDescent="0.2">
      <c r="E2054" s="26"/>
    </row>
    <row r="2055" spans="5:5" x14ac:dyDescent="0.2">
      <c r="E2055" s="26"/>
    </row>
    <row r="2056" spans="5:5" x14ac:dyDescent="0.2">
      <c r="E2056" s="26"/>
    </row>
    <row r="2057" spans="5:5" x14ac:dyDescent="0.2">
      <c r="E2057" s="26"/>
    </row>
    <row r="2058" spans="5:5" x14ac:dyDescent="0.2">
      <c r="E2058" s="26"/>
    </row>
    <row r="2059" spans="5:5" x14ac:dyDescent="0.2">
      <c r="E2059" s="26"/>
    </row>
    <row r="2060" spans="5:5" x14ac:dyDescent="0.2">
      <c r="E2060" s="26"/>
    </row>
    <row r="2061" spans="5:5" x14ac:dyDescent="0.2">
      <c r="E2061" s="26"/>
    </row>
    <row r="2062" spans="5:5" x14ac:dyDescent="0.2">
      <c r="E2062" s="26"/>
    </row>
    <row r="2063" spans="5:5" x14ac:dyDescent="0.2">
      <c r="E2063" s="26"/>
    </row>
    <row r="2064" spans="5:5" x14ac:dyDescent="0.2">
      <c r="E2064" s="26"/>
    </row>
    <row r="2065" spans="5:5" x14ac:dyDescent="0.2">
      <c r="E2065" s="26"/>
    </row>
    <row r="2066" spans="5:5" x14ac:dyDescent="0.2">
      <c r="E2066" s="26"/>
    </row>
    <row r="2067" spans="5:5" x14ac:dyDescent="0.2">
      <c r="E2067" s="26"/>
    </row>
    <row r="2068" spans="5:5" x14ac:dyDescent="0.2">
      <c r="E2068" s="26"/>
    </row>
    <row r="2069" spans="5:5" x14ac:dyDescent="0.2">
      <c r="E2069" s="26"/>
    </row>
    <row r="2070" spans="5:5" x14ac:dyDescent="0.2">
      <c r="E2070" s="26"/>
    </row>
    <row r="2071" spans="5:5" x14ac:dyDescent="0.2">
      <c r="E2071" s="26"/>
    </row>
    <row r="2072" spans="5:5" x14ac:dyDescent="0.2">
      <c r="E2072" s="26"/>
    </row>
    <row r="2073" spans="5:5" x14ac:dyDescent="0.2">
      <c r="E2073" s="26"/>
    </row>
    <row r="2074" spans="5:5" x14ac:dyDescent="0.2">
      <c r="E2074" s="26"/>
    </row>
    <row r="2075" spans="5:5" x14ac:dyDescent="0.2">
      <c r="E2075" s="26"/>
    </row>
    <row r="2076" spans="5:5" x14ac:dyDescent="0.2">
      <c r="E2076" s="26"/>
    </row>
    <row r="2077" spans="5:5" x14ac:dyDescent="0.2">
      <c r="E2077" s="26"/>
    </row>
    <row r="2078" spans="5:5" x14ac:dyDescent="0.2">
      <c r="E2078" s="26"/>
    </row>
    <row r="2079" spans="5:5" x14ac:dyDescent="0.2">
      <c r="E2079" s="26"/>
    </row>
    <row r="2080" spans="5:5" x14ac:dyDescent="0.2">
      <c r="E2080" s="26"/>
    </row>
    <row r="2081" spans="5:5" x14ac:dyDescent="0.2">
      <c r="E2081" s="26"/>
    </row>
    <row r="2082" spans="5:5" x14ac:dyDescent="0.2">
      <c r="E2082" s="26"/>
    </row>
    <row r="2083" spans="5:5" x14ac:dyDescent="0.2">
      <c r="E2083" s="26"/>
    </row>
    <row r="2084" spans="5:5" x14ac:dyDescent="0.2">
      <c r="E2084" s="26"/>
    </row>
    <row r="2085" spans="5:5" x14ac:dyDescent="0.2">
      <c r="E2085" s="26"/>
    </row>
    <row r="2086" spans="5:5" x14ac:dyDescent="0.2">
      <c r="E2086" s="26"/>
    </row>
    <row r="2087" spans="5:5" x14ac:dyDescent="0.2">
      <c r="E2087" s="26"/>
    </row>
    <row r="2088" spans="5:5" x14ac:dyDescent="0.2">
      <c r="E2088" s="26"/>
    </row>
    <row r="2089" spans="5:5" x14ac:dyDescent="0.2">
      <c r="E2089" s="26"/>
    </row>
    <row r="2090" spans="5:5" x14ac:dyDescent="0.2">
      <c r="E2090" s="26"/>
    </row>
    <row r="2091" spans="5:5" x14ac:dyDescent="0.2">
      <c r="E2091" s="26"/>
    </row>
    <row r="2092" spans="5:5" x14ac:dyDescent="0.2">
      <c r="E2092" s="26"/>
    </row>
    <row r="2093" spans="5:5" x14ac:dyDescent="0.2">
      <c r="E2093" s="26"/>
    </row>
    <row r="2094" spans="5:5" x14ac:dyDescent="0.2">
      <c r="E2094" s="26"/>
    </row>
    <row r="2095" spans="5:5" x14ac:dyDescent="0.2">
      <c r="E2095" s="26"/>
    </row>
    <row r="2096" spans="5:5" x14ac:dyDescent="0.2">
      <c r="E2096" s="26"/>
    </row>
    <row r="2097" spans="5:5" x14ac:dyDescent="0.2">
      <c r="E2097" s="26"/>
    </row>
    <row r="2098" spans="5:5" x14ac:dyDescent="0.2">
      <c r="E2098" s="26"/>
    </row>
    <row r="2099" spans="5:5" x14ac:dyDescent="0.2">
      <c r="E2099" s="26"/>
    </row>
    <row r="2100" spans="5:5" x14ac:dyDescent="0.2">
      <c r="E2100" s="26"/>
    </row>
    <row r="2101" spans="5:5" x14ac:dyDescent="0.2">
      <c r="E2101" s="26"/>
    </row>
    <row r="2102" spans="5:5" x14ac:dyDescent="0.2">
      <c r="E2102" s="26"/>
    </row>
    <row r="2103" spans="5:5" x14ac:dyDescent="0.2">
      <c r="E2103" s="26"/>
    </row>
    <row r="2104" spans="5:5" x14ac:dyDescent="0.2">
      <c r="E2104" s="26"/>
    </row>
    <row r="2105" spans="5:5" x14ac:dyDescent="0.2">
      <c r="E2105" s="26"/>
    </row>
    <row r="2106" spans="5:5" x14ac:dyDescent="0.2">
      <c r="E2106" s="26"/>
    </row>
    <row r="2107" spans="5:5" x14ac:dyDescent="0.2">
      <c r="E2107" s="26"/>
    </row>
    <row r="2108" spans="5:5" x14ac:dyDescent="0.2">
      <c r="E2108" s="26"/>
    </row>
    <row r="2109" spans="5:5" x14ac:dyDescent="0.2">
      <c r="E2109" s="26"/>
    </row>
    <row r="2110" spans="5:5" x14ac:dyDescent="0.2">
      <c r="E2110" s="26"/>
    </row>
    <row r="2111" spans="5:5" x14ac:dyDescent="0.2">
      <c r="E2111" s="26"/>
    </row>
    <row r="2112" spans="5:5" x14ac:dyDescent="0.2">
      <c r="E2112" s="26"/>
    </row>
    <row r="2113" spans="5:5" x14ac:dyDescent="0.2">
      <c r="E2113" s="26"/>
    </row>
    <row r="2114" spans="5:5" x14ac:dyDescent="0.2">
      <c r="E2114" s="26"/>
    </row>
    <row r="2115" spans="5:5" x14ac:dyDescent="0.2">
      <c r="E2115" s="26"/>
    </row>
    <row r="2116" spans="5:5" x14ac:dyDescent="0.2">
      <c r="E2116" s="26"/>
    </row>
    <row r="2117" spans="5:5" x14ac:dyDescent="0.2">
      <c r="E2117" s="26"/>
    </row>
    <row r="2118" spans="5:5" x14ac:dyDescent="0.2">
      <c r="E2118" s="26"/>
    </row>
    <row r="2119" spans="5:5" x14ac:dyDescent="0.2">
      <c r="E2119" s="26"/>
    </row>
    <row r="2120" spans="5:5" x14ac:dyDescent="0.2">
      <c r="E2120" s="26"/>
    </row>
    <row r="2121" spans="5:5" x14ac:dyDescent="0.2">
      <c r="E2121" s="26"/>
    </row>
    <row r="2122" spans="5:5" x14ac:dyDescent="0.2">
      <c r="E2122" s="26"/>
    </row>
    <row r="2123" spans="5:5" x14ac:dyDescent="0.2">
      <c r="E2123" s="26"/>
    </row>
    <row r="2124" spans="5:5" x14ac:dyDescent="0.2">
      <c r="E2124" s="26"/>
    </row>
    <row r="2125" spans="5:5" x14ac:dyDescent="0.2">
      <c r="E2125" s="26"/>
    </row>
    <row r="2126" spans="5:5" x14ac:dyDescent="0.2">
      <c r="E2126" s="26"/>
    </row>
    <row r="2127" spans="5:5" x14ac:dyDescent="0.2">
      <c r="E2127" s="26"/>
    </row>
    <row r="2128" spans="5:5" x14ac:dyDescent="0.2">
      <c r="E2128" s="26"/>
    </row>
    <row r="2129" spans="5:5" x14ac:dyDescent="0.2">
      <c r="E2129" s="26"/>
    </row>
    <row r="2130" spans="5:5" x14ac:dyDescent="0.2">
      <c r="E2130" s="26"/>
    </row>
    <row r="2131" spans="5:5" x14ac:dyDescent="0.2">
      <c r="E2131" s="26"/>
    </row>
    <row r="2132" spans="5:5" x14ac:dyDescent="0.2">
      <c r="E2132" s="26"/>
    </row>
    <row r="2133" spans="5:5" x14ac:dyDescent="0.2">
      <c r="E2133" s="26"/>
    </row>
    <row r="2134" spans="5:5" x14ac:dyDescent="0.2">
      <c r="E2134" s="26"/>
    </row>
    <row r="2135" spans="5:5" x14ac:dyDescent="0.2">
      <c r="E2135" s="26"/>
    </row>
    <row r="2136" spans="5:5" x14ac:dyDescent="0.2">
      <c r="E2136" s="26"/>
    </row>
    <row r="2137" spans="5:5" x14ac:dyDescent="0.2">
      <c r="E2137" s="26"/>
    </row>
    <row r="2138" spans="5:5" x14ac:dyDescent="0.2">
      <c r="E2138" s="26"/>
    </row>
    <row r="2139" spans="5:5" x14ac:dyDescent="0.2">
      <c r="E2139" s="26"/>
    </row>
    <row r="2140" spans="5:5" x14ac:dyDescent="0.2">
      <c r="E2140" s="26"/>
    </row>
    <row r="2141" spans="5:5" x14ac:dyDescent="0.2">
      <c r="E2141" s="26"/>
    </row>
    <row r="2142" spans="5:5" x14ac:dyDescent="0.2">
      <c r="E2142" s="26"/>
    </row>
    <row r="2143" spans="5:5" x14ac:dyDescent="0.2">
      <c r="E2143" s="26"/>
    </row>
    <row r="2144" spans="5:5" x14ac:dyDescent="0.2">
      <c r="E2144" s="26"/>
    </row>
    <row r="2145" spans="5:5" x14ac:dyDescent="0.2">
      <c r="E2145" s="26"/>
    </row>
    <row r="2146" spans="5:5" x14ac:dyDescent="0.2">
      <c r="E2146" s="26"/>
    </row>
    <row r="2147" spans="5:5" x14ac:dyDescent="0.2">
      <c r="E2147" s="26"/>
    </row>
    <row r="2148" spans="5:5" x14ac:dyDescent="0.2">
      <c r="E2148" s="26"/>
    </row>
    <row r="2149" spans="5:5" x14ac:dyDescent="0.2">
      <c r="E2149" s="26"/>
    </row>
    <row r="2150" spans="5:5" x14ac:dyDescent="0.2">
      <c r="E2150" s="26"/>
    </row>
    <row r="2151" spans="5:5" x14ac:dyDescent="0.2">
      <c r="E2151" s="26"/>
    </row>
    <row r="2152" spans="5:5" x14ac:dyDescent="0.2">
      <c r="E2152" s="26"/>
    </row>
    <row r="2153" spans="5:5" x14ac:dyDescent="0.2">
      <c r="E2153" s="26"/>
    </row>
    <row r="2154" spans="5:5" x14ac:dyDescent="0.2">
      <c r="E2154" s="26"/>
    </row>
    <row r="2155" spans="5:5" x14ac:dyDescent="0.2">
      <c r="E2155" s="26"/>
    </row>
    <row r="2156" spans="5:5" x14ac:dyDescent="0.2">
      <c r="E2156" s="26"/>
    </row>
    <row r="2157" spans="5:5" x14ac:dyDescent="0.2">
      <c r="E2157" s="26"/>
    </row>
    <row r="2158" spans="5:5" x14ac:dyDescent="0.2">
      <c r="E2158" s="26"/>
    </row>
    <row r="2159" spans="5:5" x14ac:dyDescent="0.2">
      <c r="E2159" s="26"/>
    </row>
    <row r="2160" spans="5:5" x14ac:dyDescent="0.2">
      <c r="E2160" s="26"/>
    </row>
    <row r="2161" spans="5:5" x14ac:dyDescent="0.2">
      <c r="E2161" s="26"/>
    </row>
    <row r="2162" spans="5:5" x14ac:dyDescent="0.2">
      <c r="E2162" s="26"/>
    </row>
    <row r="2163" spans="5:5" x14ac:dyDescent="0.2">
      <c r="E2163" s="26"/>
    </row>
    <row r="2164" spans="5:5" x14ac:dyDescent="0.2">
      <c r="E2164" s="26"/>
    </row>
    <row r="2165" spans="5:5" x14ac:dyDescent="0.2">
      <c r="E2165" s="26"/>
    </row>
    <row r="2166" spans="5:5" x14ac:dyDescent="0.2">
      <c r="E2166" s="26"/>
    </row>
    <row r="2167" spans="5:5" x14ac:dyDescent="0.2">
      <c r="E2167" s="26"/>
    </row>
    <row r="2168" spans="5:5" x14ac:dyDescent="0.2">
      <c r="E2168" s="26"/>
    </row>
    <row r="2169" spans="5:5" x14ac:dyDescent="0.2">
      <c r="E2169" s="26"/>
    </row>
    <row r="2170" spans="5:5" x14ac:dyDescent="0.2">
      <c r="E2170" s="26"/>
    </row>
    <row r="2171" spans="5:5" x14ac:dyDescent="0.2">
      <c r="E2171" s="26"/>
    </row>
    <row r="2172" spans="5:5" x14ac:dyDescent="0.2">
      <c r="E2172" s="26"/>
    </row>
    <row r="2173" spans="5:5" x14ac:dyDescent="0.2">
      <c r="E2173" s="26"/>
    </row>
    <row r="2174" spans="5:5" x14ac:dyDescent="0.2">
      <c r="E2174" s="26"/>
    </row>
    <row r="2175" spans="5:5" x14ac:dyDescent="0.2">
      <c r="E2175" s="26"/>
    </row>
    <row r="2176" spans="5:5" x14ac:dyDescent="0.2">
      <c r="E2176" s="26"/>
    </row>
    <row r="2177" spans="5:5" x14ac:dyDescent="0.2">
      <c r="E2177" s="26"/>
    </row>
    <row r="2178" spans="5:5" x14ac:dyDescent="0.2">
      <c r="E2178" s="26"/>
    </row>
    <row r="2179" spans="5:5" x14ac:dyDescent="0.2">
      <c r="E2179" s="26"/>
    </row>
    <row r="2180" spans="5:5" x14ac:dyDescent="0.2">
      <c r="E2180" s="26"/>
    </row>
    <row r="2181" spans="5:5" x14ac:dyDescent="0.2">
      <c r="E2181" s="26"/>
    </row>
    <row r="2182" spans="5:5" x14ac:dyDescent="0.2">
      <c r="E2182" s="26"/>
    </row>
    <row r="2183" spans="5:5" x14ac:dyDescent="0.2">
      <c r="E2183" s="26"/>
    </row>
    <row r="2184" spans="5:5" x14ac:dyDescent="0.2">
      <c r="E2184" s="26"/>
    </row>
    <row r="2185" spans="5:5" x14ac:dyDescent="0.2">
      <c r="E2185" s="26"/>
    </row>
    <row r="2186" spans="5:5" x14ac:dyDescent="0.2">
      <c r="E2186" s="26"/>
    </row>
    <row r="2187" spans="5:5" x14ac:dyDescent="0.2">
      <c r="E2187" s="26"/>
    </row>
    <row r="2188" spans="5:5" x14ac:dyDescent="0.2">
      <c r="E2188" s="26"/>
    </row>
    <row r="2189" spans="5:5" x14ac:dyDescent="0.2">
      <c r="E2189" s="26"/>
    </row>
    <row r="2190" spans="5:5" x14ac:dyDescent="0.2">
      <c r="E2190" s="26"/>
    </row>
    <row r="2191" spans="5:5" x14ac:dyDescent="0.2">
      <c r="E2191" s="26"/>
    </row>
    <row r="2192" spans="5:5" x14ac:dyDescent="0.2">
      <c r="E2192" s="26"/>
    </row>
    <row r="2193" spans="5:5" x14ac:dyDescent="0.2">
      <c r="E2193" s="26"/>
    </row>
    <row r="2194" spans="5:5" x14ac:dyDescent="0.2">
      <c r="E2194" s="26"/>
    </row>
    <row r="2195" spans="5:5" x14ac:dyDescent="0.2">
      <c r="E2195" s="26"/>
    </row>
    <row r="2196" spans="5:5" x14ac:dyDescent="0.2">
      <c r="E2196" s="26"/>
    </row>
    <row r="2197" spans="5:5" x14ac:dyDescent="0.2">
      <c r="E2197" s="26"/>
    </row>
    <row r="2198" spans="5:5" x14ac:dyDescent="0.2">
      <c r="E2198" s="26"/>
    </row>
    <row r="2199" spans="5:5" x14ac:dyDescent="0.2">
      <c r="E2199" s="26"/>
    </row>
    <row r="2200" spans="5:5" x14ac:dyDescent="0.2">
      <c r="E2200" s="26"/>
    </row>
    <row r="2201" spans="5:5" x14ac:dyDescent="0.2">
      <c r="E2201" s="26"/>
    </row>
    <row r="2202" spans="5:5" x14ac:dyDescent="0.2">
      <c r="E2202" s="26"/>
    </row>
    <row r="2203" spans="5:5" x14ac:dyDescent="0.2">
      <c r="E2203" s="26"/>
    </row>
    <row r="2204" spans="5:5" x14ac:dyDescent="0.2">
      <c r="E2204" s="26"/>
    </row>
    <row r="2205" spans="5:5" x14ac:dyDescent="0.2">
      <c r="E2205" s="26"/>
    </row>
    <row r="2206" spans="5:5" x14ac:dyDescent="0.2">
      <c r="E2206" s="26"/>
    </row>
    <row r="2207" spans="5:5" x14ac:dyDescent="0.2">
      <c r="E2207" s="26"/>
    </row>
    <row r="2208" spans="5:5" x14ac:dyDescent="0.2">
      <c r="E2208" s="26"/>
    </row>
    <row r="2209" spans="5:5" x14ac:dyDescent="0.2">
      <c r="E2209" s="26"/>
    </row>
    <row r="2210" spans="5:5" x14ac:dyDescent="0.2">
      <c r="E2210" s="26"/>
    </row>
    <row r="2211" spans="5:5" x14ac:dyDescent="0.2">
      <c r="E2211" s="26"/>
    </row>
    <row r="2212" spans="5:5" x14ac:dyDescent="0.2">
      <c r="E2212" s="26"/>
    </row>
    <row r="2213" spans="5:5" x14ac:dyDescent="0.2">
      <c r="E2213" s="26"/>
    </row>
    <row r="2214" spans="5:5" x14ac:dyDescent="0.2">
      <c r="E2214" s="26"/>
    </row>
    <row r="2215" spans="5:5" x14ac:dyDescent="0.2">
      <c r="E2215" s="26"/>
    </row>
    <row r="2216" spans="5:5" x14ac:dyDescent="0.2">
      <c r="E2216" s="26"/>
    </row>
    <row r="2217" spans="5:5" x14ac:dyDescent="0.2">
      <c r="E2217" s="26"/>
    </row>
    <row r="2218" spans="5:5" x14ac:dyDescent="0.2">
      <c r="E2218" s="26"/>
    </row>
    <row r="2219" spans="5:5" x14ac:dyDescent="0.2">
      <c r="E2219" s="26"/>
    </row>
    <row r="2220" spans="5:5" x14ac:dyDescent="0.2">
      <c r="E2220" s="26"/>
    </row>
    <row r="2221" spans="5:5" x14ac:dyDescent="0.2">
      <c r="E2221" s="26"/>
    </row>
    <row r="2222" spans="5:5" x14ac:dyDescent="0.2">
      <c r="E2222" s="26"/>
    </row>
    <row r="2223" spans="5:5" x14ac:dyDescent="0.2">
      <c r="E2223" s="26"/>
    </row>
    <row r="2224" spans="5:5" x14ac:dyDescent="0.2">
      <c r="E2224" s="26"/>
    </row>
    <row r="2225" spans="5:5" x14ac:dyDescent="0.2">
      <c r="E2225" s="26"/>
    </row>
    <row r="2226" spans="5:5" x14ac:dyDescent="0.2">
      <c r="E2226" s="26"/>
    </row>
    <row r="2227" spans="5:5" x14ac:dyDescent="0.2">
      <c r="E2227" s="26"/>
    </row>
    <row r="2228" spans="5:5" x14ac:dyDescent="0.2">
      <c r="E2228" s="26"/>
    </row>
    <row r="2229" spans="5:5" x14ac:dyDescent="0.2">
      <c r="E2229" s="26"/>
    </row>
    <row r="2230" spans="5:5" x14ac:dyDescent="0.2">
      <c r="E2230" s="26"/>
    </row>
    <row r="2231" spans="5:5" x14ac:dyDescent="0.2">
      <c r="E2231" s="26"/>
    </row>
    <row r="2232" spans="5:5" x14ac:dyDescent="0.2">
      <c r="E2232" s="26"/>
    </row>
    <row r="2233" spans="5:5" x14ac:dyDescent="0.2">
      <c r="E2233" s="26"/>
    </row>
    <row r="2234" spans="5:5" x14ac:dyDescent="0.2">
      <c r="E2234" s="26"/>
    </row>
    <row r="2235" spans="5:5" x14ac:dyDescent="0.2">
      <c r="E2235" s="26"/>
    </row>
    <row r="2236" spans="5:5" x14ac:dyDescent="0.2">
      <c r="E2236" s="26"/>
    </row>
    <row r="2237" spans="5:5" x14ac:dyDescent="0.2">
      <c r="E2237" s="26"/>
    </row>
    <row r="2238" spans="5:5" x14ac:dyDescent="0.2">
      <c r="E2238" s="26"/>
    </row>
    <row r="2239" spans="5:5" x14ac:dyDescent="0.2">
      <c r="E2239" s="26"/>
    </row>
    <row r="2240" spans="5:5" x14ac:dyDescent="0.2">
      <c r="E2240" s="26"/>
    </row>
    <row r="2241" spans="5:5" x14ac:dyDescent="0.2">
      <c r="E2241" s="26"/>
    </row>
    <row r="2242" spans="5:5" x14ac:dyDescent="0.2">
      <c r="E2242" s="26"/>
    </row>
    <row r="2243" spans="5:5" x14ac:dyDescent="0.2">
      <c r="E2243" s="26"/>
    </row>
    <row r="2244" spans="5:5" x14ac:dyDescent="0.2">
      <c r="E2244" s="26"/>
    </row>
    <row r="2245" spans="5:5" x14ac:dyDescent="0.2">
      <c r="E2245" s="26"/>
    </row>
    <row r="2246" spans="5:5" x14ac:dyDescent="0.2">
      <c r="E2246" s="26"/>
    </row>
    <row r="2247" spans="5:5" x14ac:dyDescent="0.2">
      <c r="E2247" s="26"/>
    </row>
    <row r="2248" spans="5:5" x14ac:dyDescent="0.2">
      <c r="E2248" s="26"/>
    </row>
    <row r="2249" spans="5:5" x14ac:dyDescent="0.2">
      <c r="E2249" s="26"/>
    </row>
    <row r="2250" spans="5:5" x14ac:dyDescent="0.2">
      <c r="E2250" s="26"/>
    </row>
    <row r="2251" spans="5:5" x14ac:dyDescent="0.2">
      <c r="E2251" s="26"/>
    </row>
    <row r="2252" spans="5:5" x14ac:dyDescent="0.2">
      <c r="E2252" s="26"/>
    </row>
    <row r="2253" spans="5:5" x14ac:dyDescent="0.2">
      <c r="E2253" s="26"/>
    </row>
    <row r="2254" spans="5:5" x14ac:dyDescent="0.2">
      <c r="E2254" s="26"/>
    </row>
    <row r="2255" spans="5:5" x14ac:dyDescent="0.2">
      <c r="E2255" s="26"/>
    </row>
    <row r="2256" spans="5:5" x14ac:dyDescent="0.2">
      <c r="E2256" s="26"/>
    </row>
    <row r="2257" spans="5:5" x14ac:dyDescent="0.2">
      <c r="E2257" s="26"/>
    </row>
    <row r="2258" spans="5:5" x14ac:dyDescent="0.2">
      <c r="E2258" s="26"/>
    </row>
    <row r="2259" spans="5:5" x14ac:dyDescent="0.2">
      <c r="E2259" s="26"/>
    </row>
    <row r="2260" spans="5:5" x14ac:dyDescent="0.2">
      <c r="E2260" s="26"/>
    </row>
    <row r="2261" spans="5:5" x14ac:dyDescent="0.2">
      <c r="E2261" s="26"/>
    </row>
    <row r="2262" spans="5:5" x14ac:dyDescent="0.2">
      <c r="E2262" s="26"/>
    </row>
    <row r="2263" spans="5:5" x14ac:dyDescent="0.2">
      <c r="E2263" s="26"/>
    </row>
    <row r="2264" spans="5:5" x14ac:dyDescent="0.2">
      <c r="E2264" s="26"/>
    </row>
    <row r="2265" spans="5:5" x14ac:dyDescent="0.2">
      <c r="E2265" s="26"/>
    </row>
    <row r="2266" spans="5:5" x14ac:dyDescent="0.2">
      <c r="E2266" s="26"/>
    </row>
    <row r="2267" spans="5:5" x14ac:dyDescent="0.2">
      <c r="E2267" s="26"/>
    </row>
    <row r="2268" spans="5:5" x14ac:dyDescent="0.2">
      <c r="E2268" s="26"/>
    </row>
    <row r="2269" spans="5:5" x14ac:dyDescent="0.2">
      <c r="E2269" s="26"/>
    </row>
    <row r="2270" spans="5:5" x14ac:dyDescent="0.2">
      <c r="E2270" s="26"/>
    </row>
    <row r="2271" spans="5:5" x14ac:dyDescent="0.2">
      <c r="E2271" s="26"/>
    </row>
    <row r="2272" spans="5:5" x14ac:dyDescent="0.2">
      <c r="E2272" s="26"/>
    </row>
    <row r="2273" spans="5:5" x14ac:dyDescent="0.2">
      <c r="E2273" s="26"/>
    </row>
    <row r="2274" spans="5:5" x14ac:dyDescent="0.2">
      <c r="E2274" s="26"/>
    </row>
    <row r="2275" spans="5:5" x14ac:dyDescent="0.2">
      <c r="E2275" s="26"/>
    </row>
    <row r="2276" spans="5:5" x14ac:dyDescent="0.2">
      <c r="E2276" s="26"/>
    </row>
    <row r="2277" spans="5:5" x14ac:dyDescent="0.2">
      <c r="E2277" s="26"/>
    </row>
    <row r="2278" spans="5:5" x14ac:dyDescent="0.2">
      <c r="E2278" s="26"/>
    </row>
    <row r="2279" spans="5:5" x14ac:dyDescent="0.2">
      <c r="E2279" s="26"/>
    </row>
    <row r="2280" spans="5:5" x14ac:dyDescent="0.2">
      <c r="E2280" s="26"/>
    </row>
    <row r="2281" spans="5:5" x14ac:dyDescent="0.2">
      <c r="E2281" s="26"/>
    </row>
    <row r="2282" spans="5:5" x14ac:dyDescent="0.2">
      <c r="E2282" s="26"/>
    </row>
    <row r="2283" spans="5:5" x14ac:dyDescent="0.2">
      <c r="E2283" s="26"/>
    </row>
    <row r="2284" spans="5:5" x14ac:dyDescent="0.2">
      <c r="E2284" s="26"/>
    </row>
    <row r="2285" spans="5:5" x14ac:dyDescent="0.2">
      <c r="E2285" s="26"/>
    </row>
    <row r="2286" spans="5:5" x14ac:dyDescent="0.2">
      <c r="E2286" s="26"/>
    </row>
    <row r="2287" spans="5:5" x14ac:dyDescent="0.2">
      <c r="E2287" s="26"/>
    </row>
    <row r="2288" spans="5:5" x14ac:dyDescent="0.2">
      <c r="E2288" s="26"/>
    </row>
    <row r="2289" spans="5:5" x14ac:dyDescent="0.2">
      <c r="E2289" s="26"/>
    </row>
    <row r="2290" spans="5:5" x14ac:dyDescent="0.2">
      <c r="E2290" s="26"/>
    </row>
    <row r="2291" spans="5:5" x14ac:dyDescent="0.2">
      <c r="E2291" s="26"/>
    </row>
    <row r="2292" spans="5:5" x14ac:dyDescent="0.2">
      <c r="E2292" s="26"/>
    </row>
    <row r="2293" spans="5:5" x14ac:dyDescent="0.2">
      <c r="E2293" s="26"/>
    </row>
    <row r="2294" spans="5:5" x14ac:dyDescent="0.2">
      <c r="E2294" s="26"/>
    </row>
    <row r="2295" spans="5:5" x14ac:dyDescent="0.2">
      <c r="E2295" s="26"/>
    </row>
    <row r="2296" spans="5:5" x14ac:dyDescent="0.2">
      <c r="E2296" s="26"/>
    </row>
    <row r="2297" spans="5:5" x14ac:dyDescent="0.2">
      <c r="E2297" s="26"/>
    </row>
    <row r="2298" spans="5:5" x14ac:dyDescent="0.2">
      <c r="E2298" s="26"/>
    </row>
    <row r="2299" spans="5:5" x14ac:dyDescent="0.2">
      <c r="E2299" s="26"/>
    </row>
    <row r="2300" spans="5:5" x14ac:dyDescent="0.2">
      <c r="E2300" s="26"/>
    </row>
    <row r="2301" spans="5:5" x14ac:dyDescent="0.2">
      <c r="E2301" s="26"/>
    </row>
    <row r="2302" spans="5:5" x14ac:dyDescent="0.2">
      <c r="E2302" s="26"/>
    </row>
    <row r="2303" spans="5:5" x14ac:dyDescent="0.2">
      <c r="E2303" s="26"/>
    </row>
    <row r="2304" spans="5:5" x14ac:dyDescent="0.2">
      <c r="E2304" s="26"/>
    </row>
    <row r="2305" spans="5:5" x14ac:dyDescent="0.2">
      <c r="E2305" s="26"/>
    </row>
    <row r="2306" spans="5:5" x14ac:dyDescent="0.2">
      <c r="E2306" s="26"/>
    </row>
    <row r="2307" spans="5:5" x14ac:dyDescent="0.2">
      <c r="E2307" s="26"/>
    </row>
    <row r="2308" spans="5:5" x14ac:dyDescent="0.2">
      <c r="E2308" s="26"/>
    </row>
    <row r="2309" spans="5:5" x14ac:dyDescent="0.2">
      <c r="E2309" s="26"/>
    </row>
    <row r="2310" spans="5:5" x14ac:dyDescent="0.2">
      <c r="E2310" s="26"/>
    </row>
    <row r="2311" spans="5:5" x14ac:dyDescent="0.2">
      <c r="E2311" s="26"/>
    </row>
    <row r="2312" spans="5:5" x14ac:dyDescent="0.2">
      <c r="E2312" s="26"/>
    </row>
    <row r="2313" spans="5:5" x14ac:dyDescent="0.2">
      <c r="E2313" s="26"/>
    </row>
    <row r="2314" spans="5:5" x14ac:dyDescent="0.2">
      <c r="E2314" s="26"/>
    </row>
    <row r="2315" spans="5:5" x14ac:dyDescent="0.2">
      <c r="E2315" s="26"/>
    </row>
    <row r="2316" spans="5:5" x14ac:dyDescent="0.2">
      <c r="E2316" s="26"/>
    </row>
    <row r="2317" spans="5:5" x14ac:dyDescent="0.2">
      <c r="E2317" s="26"/>
    </row>
    <row r="2318" spans="5:5" x14ac:dyDescent="0.2">
      <c r="E2318" s="26"/>
    </row>
    <row r="2319" spans="5:5" x14ac:dyDescent="0.2">
      <c r="E2319" s="26"/>
    </row>
    <row r="2320" spans="5:5" x14ac:dyDescent="0.2">
      <c r="E2320" s="26"/>
    </row>
    <row r="2321" spans="5:5" x14ac:dyDescent="0.2">
      <c r="E2321" s="26"/>
    </row>
    <row r="2322" spans="5:5" x14ac:dyDescent="0.2">
      <c r="E2322" s="26"/>
    </row>
    <row r="2323" spans="5:5" x14ac:dyDescent="0.2">
      <c r="E2323" s="26"/>
    </row>
    <row r="2324" spans="5:5" x14ac:dyDescent="0.2">
      <c r="E2324" s="26"/>
    </row>
    <row r="2325" spans="5:5" x14ac:dyDescent="0.2">
      <c r="E2325" s="26"/>
    </row>
    <row r="2326" spans="5:5" x14ac:dyDescent="0.2">
      <c r="E2326" s="26"/>
    </row>
    <row r="2327" spans="5:5" x14ac:dyDescent="0.2">
      <c r="E2327" s="26"/>
    </row>
    <row r="2328" spans="5:5" x14ac:dyDescent="0.2">
      <c r="E2328" s="26"/>
    </row>
    <row r="2329" spans="5:5" x14ac:dyDescent="0.2">
      <c r="E2329" s="26"/>
    </row>
    <row r="2330" spans="5:5" x14ac:dyDescent="0.2">
      <c r="E2330" s="26"/>
    </row>
    <row r="2331" spans="5:5" x14ac:dyDescent="0.2">
      <c r="E2331" s="26"/>
    </row>
    <row r="2332" spans="5:5" x14ac:dyDescent="0.2">
      <c r="E2332" s="26"/>
    </row>
    <row r="2333" spans="5:5" x14ac:dyDescent="0.2">
      <c r="E2333" s="26"/>
    </row>
    <row r="2334" spans="5:5" x14ac:dyDescent="0.2">
      <c r="E2334" s="26"/>
    </row>
    <row r="2335" spans="5:5" x14ac:dyDescent="0.2">
      <c r="E2335" s="26"/>
    </row>
    <row r="2336" spans="5:5" x14ac:dyDescent="0.2">
      <c r="E2336" s="26"/>
    </row>
    <row r="2337" spans="5:5" x14ac:dyDescent="0.2">
      <c r="E2337" s="26"/>
    </row>
    <row r="2338" spans="5:5" x14ac:dyDescent="0.2">
      <c r="E2338" s="26"/>
    </row>
    <row r="2339" spans="5:5" x14ac:dyDescent="0.2">
      <c r="E2339" s="26"/>
    </row>
    <row r="2340" spans="5:5" x14ac:dyDescent="0.2">
      <c r="E2340" s="26"/>
    </row>
    <row r="2341" spans="5:5" x14ac:dyDescent="0.2">
      <c r="E2341" s="26"/>
    </row>
    <row r="2342" spans="5:5" x14ac:dyDescent="0.2">
      <c r="E2342" s="26"/>
    </row>
    <row r="2343" spans="5:5" x14ac:dyDescent="0.2">
      <c r="E2343" s="26"/>
    </row>
    <row r="2344" spans="5:5" x14ac:dyDescent="0.2">
      <c r="E2344" s="26"/>
    </row>
    <row r="2345" spans="5:5" x14ac:dyDescent="0.2">
      <c r="E2345" s="26"/>
    </row>
    <row r="2346" spans="5:5" x14ac:dyDescent="0.2">
      <c r="E2346" s="26"/>
    </row>
    <row r="2347" spans="5:5" x14ac:dyDescent="0.2">
      <c r="E2347" s="26"/>
    </row>
    <row r="2348" spans="5:5" x14ac:dyDescent="0.2">
      <c r="E2348" s="26"/>
    </row>
    <row r="2349" spans="5:5" x14ac:dyDescent="0.2">
      <c r="E2349" s="26"/>
    </row>
    <row r="2350" spans="5:5" x14ac:dyDescent="0.2">
      <c r="E2350" s="26"/>
    </row>
    <row r="2351" spans="5:5" x14ac:dyDescent="0.2">
      <c r="E2351" s="26"/>
    </row>
    <row r="2352" spans="5:5" x14ac:dyDescent="0.2">
      <c r="E2352" s="26"/>
    </row>
    <row r="2353" spans="5:5" x14ac:dyDescent="0.2">
      <c r="E2353" s="26"/>
    </row>
    <row r="2354" spans="5:5" x14ac:dyDescent="0.2">
      <c r="E2354" s="26"/>
    </row>
    <row r="2355" spans="5:5" x14ac:dyDescent="0.2">
      <c r="E2355" s="26"/>
    </row>
    <row r="2356" spans="5:5" x14ac:dyDescent="0.2">
      <c r="E2356" s="26"/>
    </row>
    <row r="2357" spans="5:5" x14ac:dyDescent="0.2">
      <c r="E2357" s="26"/>
    </row>
    <row r="2358" spans="5:5" x14ac:dyDescent="0.2">
      <c r="E2358" s="26"/>
    </row>
    <row r="2359" spans="5:5" x14ac:dyDescent="0.2">
      <c r="E2359" s="26"/>
    </row>
    <row r="2360" spans="5:5" x14ac:dyDescent="0.2">
      <c r="E2360" s="26"/>
    </row>
    <row r="2361" spans="5:5" x14ac:dyDescent="0.2">
      <c r="E2361" s="26"/>
    </row>
    <row r="2362" spans="5:5" x14ac:dyDescent="0.2">
      <c r="E2362" s="26"/>
    </row>
    <row r="2363" spans="5:5" x14ac:dyDescent="0.2">
      <c r="E2363" s="26"/>
    </row>
    <row r="2364" spans="5:5" x14ac:dyDescent="0.2">
      <c r="E2364" s="26"/>
    </row>
    <row r="2365" spans="5:5" x14ac:dyDescent="0.2">
      <c r="E2365" s="26"/>
    </row>
    <row r="2366" spans="5:5" x14ac:dyDescent="0.2">
      <c r="E2366" s="26"/>
    </row>
    <row r="2367" spans="5:5" x14ac:dyDescent="0.2">
      <c r="E2367" s="26"/>
    </row>
    <row r="2368" spans="5:5" x14ac:dyDescent="0.2">
      <c r="E2368" s="26"/>
    </row>
    <row r="2369" spans="5:5" x14ac:dyDescent="0.2">
      <c r="E2369" s="26"/>
    </row>
    <row r="2370" spans="5:5" x14ac:dyDescent="0.2">
      <c r="E2370" s="26"/>
    </row>
    <row r="2371" spans="5:5" x14ac:dyDescent="0.2">
      <c r="E2371" s="26"/>
    </row>
    <row r="2372" spans="5:5" x14ac:dyDescent="0.2">
      <c r="E2372" s="26"/>
    </row>
    <row r="2373" spans="5:5" x14ac:dyDescent="0.2">
      <c r="E2373" s="26"/>
    </row>
    <row r="2374" spans="5:5" x14ac:dyDescent="0.2">
      <c r="E2374" s="26"/>
    </row>
    <row r="2375" spans="5:5" x14ac:dyDescent="0.2">
      <c r="E2375" s="26"/>
    </row>
    <row r="2376" spans="5:5" x14ac:dyDescent="0.2">
      <c r="E2376" s="26"/>
    </row>
    <row r="2377" spans="5:5" x14ac:dyDescent="0.2">
      <c r="E2377" s="26"/>
    </row>
    <row r="2378" spans="5:5" x14ac:dyDescent="0.2">
      <c r="E2378" s="26"/>
    </row>
    <row r="2379" spans="5:5" x14ac:dyDescent="0.2">
      <c r="E2379" s="26"/>
    </row>
    <row r="2380" spans="5:5" x14ac:dyDescent="0.2">
      <c r="E2380" s="26"/>
    </row>
    <row r="2381" spans="5:5" x14ac:dyDescent="0.2">
      <c r="E2381" s="26"/>
    </row>
    <row r="2382" spans="5:5" x14ac:dyDescent="0.2">
      <c r="E2382" s="26"/>
    </row>
    <row r="2383" spans="5:5" x14ac:dyDescent="0.2">
      <c r="E2383" s="26"/>
    </row>
    <row r="2384" spans="5:5" x14ac:dyDescent="0.2">
      <c r="E2384" s="26"/>
    </row>
    <row r="2385" spans="5:5" x14ac:dyDescent="0.2">
      <c r="E2385" s="26"/>
    </row>
    <row r="2386" spans="5:5" x14ac:dyDescent="0.2">
      <c r="E2386" s="26"/>
    </row>
    <row r="2387" spans="5:5" x14ac:dyDescent="0.2">
      <c r="E2387" s="26"/>
    </row>
    <row r="2388" spans="5:5" x14ac:dyDescent="0.2">
      <c r="E2388" s="26"/>
    </row>
    <row r="2389" spans="5:5" x14ac:dyDescent="0.2">
      <c r="E2389" s="26"/>
    </row>
    <row r="2390" spans="5:5" x14ac:dyDescent="0.2">
      <c r="E2390" s="26"/>
    </row>
    <row r="2391" spans="5:5" x14ac:dyDescent="0.2">
      <c r="E2391" s="26"/>
    </row>
    <row r="2392" spans="5:5" x14ac:dyDescent="0.2">
      <c r="E2392" s="26"/>
    </row>
    <row r="2393" spans="5:5" x14ac:dyDescent="0.2">
      <c r="E2393" s="26"/>
    </row>
    <row r="2394" spans="5:5" x14ac:dyDescent="0.2">
      <c r="E2394" s="26"/>
    </row>
    <row r="2395" spans="5:5" x14ac:dyDescent="0.2">
      <c r="E2395" s="26"/>
    </row>
    <row r="2396" spans="5:5" x14ac:dyDescent="0.2">
      <c r="E2396" s="26"/>
    </row>
    <row r="2397" spans="5:5" x14ac:dyDescent="0.2">
      <c r="E2397" s="26"/>
    </row>
    <row r="2398" spans="5:5" x14ac:dyDescent="0.2">
      <c r="E2398" s="26"/>
    </row>
    <row r="2399" spans="5:5" x14ac:dyDescent="0.2">
      <c r="E2399" s="26"/>
    </row>
    <row r="2400" spans="5:5" x14ac:dyDescent="0.2">
      <c r="E2400" s="26"/>
    </row>
    <row r="2401" spans="5:5" x14ac:dyDescent="0.2">
      <c r="E2401" s="26"/>
    </row>
    <row r="2402" spans="5:5" x14ac:dyDescent="0.2">
      <c r="E2402" s="26"/>
    </row>
    <row r="2403" spans="5:5" x14ac:dyDescent="0.2">
      <c r="E2403" s="26"/>
    </row>
    <row r="2404" spans="5:5" x14ac:dyDescent="0.2">
      <c r="E2404" s="26"/>
    </row>
    <row r="2405" spans="5:5" x14ac:dyDescent="0.2">
      <c r="E2405" s="26"/>
    </row>
    <row r="2406" spans="5:5" x14ac:dyDescent="0.2">
      <c r="E2406" s="26"/>
    </row>
    <row r="2407" spans="5:5" x14ac:dyDescent="0.2">
      <c r="E2407" s="26"/>
    </row>
    <row r="2408" spans="5:5" x14ac:dyDescent="0.2">
      <c r="E2408" s="26"/>
    </row>
    <row r="2409" spans="5:5" x14ac:dyDescent="0.2">
      <c r="E2409" s="26"/>
    </row>
    <row r="2410" spans="5:5" x14ac:dyDescent="0.2">
      <c r="E2410" s="26"/>
    </row>
    <row r="2411" spans="5:5" x14ac:dyDescent="0.2">
      <c r="E2411" s="26"/>
    </row>
    <row r="2412" spans="5:5" x14ac:dyDescent="0.2">
      <c r="E2412" s="26"/>
    </row>
    <row r="2413" spans="5:5" x14ac:dyDescent="0.2">
      <c r="E2413" s="26"/>
    </row>
    <row r="2414" spans="5:5" x14ac:dyDescent="0.2">
      <c r="E2414" s="26"/>
    </row>
    <row r="2415" spans="5:5" x14ac:dyDescent="0.2">
      <c r="E2415" s="26"/>
    </row>
    <row r="2416" spans="5:5" x14ac:dyDescent="0.2">
      <c r="E2416" s="26"/>
    </row>
    <row r="2417" spans="5:5" x14ac:dyDescent="0.2">
      <c r="E2417" s="26"/>
    </row>
    <row r="2418" spans="5:5" x14ac:dyDescent="0.2">
      <c r="E2418" s="26"/>
    </row>
    <row r="2419" spans="5:5" x14ac:dyDescent="0.2">
      <c r="E2419" s="26"/>
    </row>
    <row r="2420" spans="5:5" x14ac:dyDescent="0.2">
      <c r="E2420" s="26"/>
    </row>
    <row r="2421" spans="5:5" x14ac:dyDescent="0.2">
      <c r="E2421" s="26"/>
    </row>
    <row r="2422" spans="5:5" x14ac:dyDescent="0.2">
      <c r="E2422" s="26"/>
    </row>
    <row r="2423" spans="5:5" x14ac:dyDescent="0.2">
      <c r="E2423" s="26"/>
    </row>
    <row r="2424" spans="5:5" x14ac:dyDescent="0.2">
      <c r="E2424" s="26"/>
    </row>
    <row r="2425" spans="5:5" x14ac:dyDescent="0.2">
      <c r="E2425" s="26"/>
    </row>
    <row r="2426" spans="5:5" x14ac:dyDescent="0.2">
      <c r="E2426" s="26"/>
    </row>
    <row r="2427" spans="5:5" x14ac:dyDescent="0.2">
      <c r="E2427" s="26"/>
    </row>
    <row r="2428" spans="5:5" x14ac:dyDescent="0.2">
      <c r="E2428" s="26"/>
    </row>
    <row r="2429" spans="5:5" x14ac:dyDescent="0.2">
      <c r="E2429" s="26"/>
    </row>
    <row r="2430" spans="5:5" x14ac:dyDescent="0.2">
      <c r="E2430" s="26"/>
    </row>
    <row r="2431" spans="5:5" x14ac:dyDescent="0.2">
      <c r="E2431" s="26"/>
    </row>
    <row r="2432" spans="5:5" x14ac:dyDescent="0.2">
      <c r="E2432" s="26"/>
    </row>
    <row r="2433" spans="5:5" x14ac:dyDescent="0.2">
      <c r="E2433" s="26"/>
    </row>
    <row r="2434" spans="5:5" x14ac:dyDescent="0.2">
      <c r="E2434" s="26"/>
    </row>
    <row r="2435" spans="5:5" x14ac:dyDescent="0.2">
      <c r="E2435" s="26"/>
    </row>
    <row r="2436" spans="5:5" x14ac:dyDescent="0.2">
      <c r="E2436" s="26"/>
    </row>
    <row r="2437" spans="5:5" x14ac:dyDescent="0.2">
      <c r="E2437" s="26"/>
    </row>
    <row r="2438" spans="5:5" x14ac:dyDescent="0.2">
      <c r="E2438" s="26"/>
    </row>
    <row r="2439" spans="5:5" x14ac:dyDescent="0.2">
      <c r="E2439" s="26"/>
    </row>
    <row r="2440" spans="5:5" x14ac:dyDescent="0.2">
      <c r="E2440" s="26"/>
    </row>
    <row r="2441" spans="5:5" x14ac:dyDescent="0.2">
      <c r="E2441" s="26"/>
    </row>
    <row r="2442" spans="5:5" x14ac:dyDescent="0.2">
      <c r="E2442" s="26"/>
    </row>
    <row r="2443" spans="5:5" x14ac:dyDescent="0.2">
      <c r="E2443" s="26"/>
    </row>
    <row r="2444" spans="5:5" x14ac:dyDescent="0.2">
      <c r="E2444" s="26"/>
    </row>
    <row r="2445" spans="5:5" x14ac:dyDescent="0.2">
      <c r="E2445" s="26"/>
    </row>
    <row r="2446" spans="5:5" x14ac:dyDescent="0.2">
      <c r="E2446" s="26"/>
    </row>
    <row r="2447" spans="5:5" x14ac:dyDescent="0.2">
      <c r="E2447" s="26"/>
    </row>
    <row r="2448" spans="5:5" x14ac:dyDescent="0.2">
      <c r="E2448" s="26"/>
    </row>
    <row r="2449" spans="5:5" x14ac:dyDescent="0.2">
      <c r="E2449" s="26"/>
    </row>
    <row r="2450" spans="5:5" x14ac:dyDescent="0.2">
      <c r="E2450" s="26"/>
    </row>
    <row r="2451" spans="5:5" x14ac:dyDescent="0.2">
      <c r="E2451" s="26"/>
    </row>
    <row r="2452" spans="5:5" x14ac:dyDescent="0.2">
      <c r="E2452" s="26"/>
    </row>
    <row r="2453" spans="5:5" x14ac:dyDescent="0.2">
      <c r="E2453" s="26"/>
    </row>
    <row r="2454" spans="5:5" x14ac:dyDescent="0.2">
      <c r="E2454" s="26"/>
    </row>
    <row r="2455" spans="5:5" x14ac:dyDescent="0.2">
      <c r="E2455" s="26"/>
    </row>
    <row r="2456" spans="5:5" x14ac:dyDescent="0.2">
      <c r="E2456" s="26"/>
    </row>
    <row r="2457" spans="5:5" x14ac:dyDescent="0.2">
      <c r="E2457" s="26"/>
    </row>
    <row r="2458" spans="5:5" x14ac:dyDescent="0.2">
      <c r="E2458" s="26"/>
    </row>
    <row r="2459" spans="5:5" x14ac:dyDescent="0.2">
      <c r="E2459" s="26"/>
    </row>
    <row r="2460" spans="5:5" x14ac:dyDescent="0.2">
      <c r="E2460" s="26"/>
    </row>
    <row r="2461" spans="5:5" x14ac:dyDescent="0.2">
      <c r="E2461" s="26"/>
    </row>
    <row r="2462" spans="5:5" x14ac:dyDescent="0.2">
      <c r="E2462" s="26"/>
    </row>
    <row r="2463" spans="5:5" x14ac:dyDescent="0.2">
      <c r="E2463" s="26"/>
    </row>
    <row r="2464" spans="5:5" x14ac:dyDescent="0.2">
      <c r="E2464" s="26"/>
    </row>
    <row r="2465" spans="5:5" x14ac:dyDescent="0.2">
      <c r="E2465" s="26"/>
    </row>
    <row r="2466" spans="5:5" x14ac:dyDescent="0.2">
      <c r="E2466" s="26"/>
    </row>
    <row r="2467" spans="5:5" x14ac:dyDescent="0.2">
      <c r="E2467" s="26"/>
    </row>
    <row r="2468" spans="5:5" x14ac:dyDescent="0.2">
      <c r="E2468" s="26"/>
    </row>
    <row r="2469" spans="5:5" x14ac:dyDescent="0.2">
      <c r="E2469" s="26"/>
    </row>
    <row r="2470" spans="5:5" x14ac:dyDescent="0.2">
      <c r="E2470" s="26"/>
    </row>
    <row r="2471" spans="5:5" x14ac:dyDescent="0.2">
      <c r="E2471" s="26"/>
    </row>
    <row r="2472" spans="5:5" x14ac:dyDescent="0.2">
      <c r="E2472" s="26"/>
    </row>
    <row r="2473" spans="5:5" x14ac:dyDescent="0.2">
      <c r="E2473" s="26"/>
    </row>
    <row r="2474" spans="5:5" x14ac:dyDescent="0.2">
      <c r="E2474" s="26"/>
    </row>
    <row r="2475" spans="5:5" x14ac:dyDescent="0.2">
      <c r="E2475" s="26"/>
    </row>
    <row r="2476" spans="5:5" x14ac:dyDescent="0.2">
      <c r="E2476" s="26"/>
    </row>
    <row r="2477" spans="5:5" x14ac:dyDescent="0.2">
      <c r="E2477" s="26"/>
    </row>
    <row r="2478" spans="5:5" x14ac:dyDescent="0.2">
      <c r="E2478" s="26"/>
    </row>
    <row r="2479" spans="5:5" x14ac:dyDescent="0.2">
      <c r="E2479" s="26"/>
    </row>
    <row r="2480" spans="5:5" x14ac:dyDescent="0.2">
      <c r="E2480" s="26"/>
    </row>
    <row r="2481" spans="5:5" x14ac:dyDescent="0.2">
      <c r="E2481" s="26"/>
    </row>
    <row r="2482" spans="5:5" x14ac:dyDescent="0.2">
      <c r="E2482" s="26"/>
    </row>
    <row r="2483" spans="5:5" x14ac:dyDescent="0.2">
      <c r="E2483" s="26"/>
    </row>
    <row r="2484" spans="5:5" x14ac:dyDescent="0.2">
      <c r="E2484" s="26"/>
    </row>
    <row r="2485" spans="5:5" x14ac:dyDescent="0.2">
      <c r="E2485" s="26"/>
    </row>
    <row r="2486" spans="5:5" x14ac:dyDescent="0.2">
      <c r="E2486" s="26"/>
    </row>
    <row r="2487" spans="5:5" x14ac:dyDescent="0.2">
      <c r="E2487" s="26"/>
    </row>
    <row r="2488" spans="5:5" x14ac:dyDescent="0.2">
      <c r="E2488" s="26"/>
    </row>
    <row r="2489" spans="5:5" x14ac:dyDescent="0.2">
      <c r="E2489" s="26"/>
    </row>
    <row r="2490" spans="5:5" x14ac:dyDescent="0.2">
      <c r="E2490" s="26"/>
    </row>
    <row r="2491" spans="5:5" x14ac:dyDescent="0.2">
      <c r="E2491" s="26"/>
    </row>
    <row r="2492" spans="5:5" x14ac:dyDescent="0.2">
      <c r="E2492" s="26"/>
    </row>
    <row r="2493" spans="5:5" x14ac:dyDescent="0.2">
      <c r="E2493" s="26"/>
    </row>
    <row r="2494" spans="5:5" x14ac:dyDescent="0.2">
      <c r="E2494" s="26"/>
    </row>
    <row r="2495" spans="5:5" x14ac:dyDescent="0.2">
      <c r="E2495" s="26"/>
    </row>
    <row r="2496" spans="5:5" x14ac:dyDescent="0.2">
      <c r="E2496" s="26"/>
    </row>
    <row r="2497" spans="5:5" x14ac:dyDescent="0.2">
      <c r="E2497" s="26"/>
    </row>
    <row r="2498" spans="5:5" x14ac:dyDescent="0.2">
      <c r="E2498" s="26"/>
    </row>
    <row r="2499" spans="5:5" x14ac:dyDescent="0.2">
      <c r="E2499" s="26"/>
    </row>
    <row r="2500" spans="5:5" x14ac:dyDescent="0.2">
      <c r="E2500" s="26"/>
    </row>
    <row r="2501" spans="5:5" x14ac:dyDescent="0.2">
      <c r="E2501" s="26"/>
    </row>
    <row r="2502" spans="5:5" x14ac:dyDescent="0.2">
      <c r="E2502" s="26"/>
    </row>
    <row r="2503" spans="5:5" x14ac:dyDescent="0.2">
      <c r="E2503" s="26"/>
    </row>
    <row r="2504" spans="5:5" x14ac:dyDescent="0.2">
      <c r="E2504" s="26"/>
    </row>
    <row r="2505" spans="5:5" x14ac:dyDescent="0.2">
      <c r="E2505" s="26"/>
    </row>
    <row r="2506" spans="5:5" x14ac:dyDescent="0.2">
      <c r="E2506" s="26"/>
    </row>
    <row r="2507" spans="5:5" x14ac:dyDescent="0.2">
      <c r="E2507" s="26"/>
    </row>
    <row r="2508" spans="5:5" x14ac:dyDescent="0.2">
      <c r="E2508" s="26"/>
    </row>
    <row r="2509" spans="5:5" x14ac:dyDescent="0.2">
      <c r="E2509" s="26"/>
    </row>
    <row r="2510" spans="5:5" x14ac:dyDescent="0.2">
      <c r="E2510" s="26"/>
    </row>
    <row r="2511" spans="5:5" x14ac:dyDescent="0.2">
      <c r="E2511" s="26"/>
    </row>
    <row r="2512" spans="5:5" x14ac:dyDescent="0.2">
      <c r="E2512" s="26"/>
    </row>
    <row r="2513" spans="5:5" x14ac:dyDescent="0.2">
      <c r="E2513" s="26"/>
    </row>
    <row r="2514" spans="5:5" x14ac:dyDescent="0.2">
      <c r="E2514" s="26"/>
    </row>
    <row r="2515" spans="5:5" x14ac:dyDescent="0.2">
      <c r="E2515" s="26"/>
    </row>
    <row r="2516" spans="5:5" x14ac:dyDescent="0.2">
      <c r="E2516" s="26"/>
    </row>
    <row r="2517" spans="5:5" x14ac:dyDescent="0.2">
      <c r="E2517" s="26"/>
    </row>
    <row r="2518" spans="5:5" x14ac:dyDescent="0.2">
      <c r="E2518" s="26"/>
    </row>
    <row r="2519" spans="5:5" x14ac:dyDescent="0.2">
      <c r="E2519" s="26"/>
    </row>
    <row r="2520" spans="5:5" x14ac:dyDescent="0.2">
      <c r="E2520" s="26"/>
    </row>
    <row r="2521" spans="5:5" x14ac:dyDescent="0.2">
      <c r="E2521" s="26"/>
    </row>
    <row r="2522" spans="5:5" x14ac:dyDescent="0.2">
      <c r="E2522" s="26"/>
    </row>
    <row r="2523" spans="5:5" x14ac:dyDescent="0.2">
      <c r="E2523" s="26"/>
    </row>
    <row r="2524" spans="5:5" x14ac:dyDescent="0.2">
      <c r="E2524" s="26"/>
    </row>
    <row r="2525" spans="5:5" x14ac:dyDescent="0.2">
      <c r="E2525" s="26"/>
    </row>
    <row r="2526" spans="5:5" x14ac:dyDescent="0.2">
      <c r="E2526" s="26"/>
    </row>
    <row r="2527" spans="5:5" x14ac:dyDescent="0.2">
      <c r="E2527" s="26"/>
    </row>
    <row r="2528" spans="5:5" x14ac:dyDescent="0.2">
      <c r="E2528" s="26"/>
    </row>
    <row r="2529" spans="5:5" x14ac:dyDescent="0.2">
      <c r="E2529" s="26"/>
    </row>
    <row r="2530" spans="5:5" x14ac:dyDescent="0.2">
      <c r="E2530" s="26"/>
    </row>
    <row r="2531" spans="5:5" x14ac:dyDescent="0.2">
      <c r="E2531" s="26"/>
    </row>
    <row r="2532" spans="5:5" x14ac:dyDescent="0.2">
      <c r="E2532" s="26"/>
    </row>
    <row r="2533" spans="5:5" x14ac:dyDescent="0.2">
      <c r="E2533" s="26"/>
    </row>
    <row r="2534" spans="5:5" x14ac:dyDescent="0.2">
      <c r="E2534" s="26"/>
    </row>
    <row r="2535" spans="5:5" x14ac:dyDescent="0.2">
      <c r="E2535" s="26"/>
    </row>
    <row r="2536" spans="5:5" x14ac:dyDescent="0.2">
      <c r="E2536" s="26"/>
    </row>
    <row r="2537" spans="5:5" x14ac:dyDescent="0.2">
      <c r="E2537" s="26"/>
    </row>
    <row r="2538" spans="5:5" x14ac:dyDescent="0.2">
      <c r="E2538" s="26"/>
    </row>
    <row r="2539" spans="5:5" x14ac:dyDescent="0.2">
      <c r="E2539" s="26"/>
    </row>
    <row r="2540" spans="5:5" x14ac:dyDescent="0.2">
      <c r="E2540" s="26"/>
    </row>
    <row r="2541" spans="5:5" x14ac:dyDescent="0.2">
      <c r="E2541" s="26"/>
    </row>
    <row r="2542" spans="5:5" x14ac:dyDescent="0.2">
      <c r="E2542" s="26"/>
    </row>
    <row r="2543" spans="5:5" x14ac:dyDescent="0.2">
      <c r="E2543" s="26"/>
    </row>
    <row r="2544" spans="5:5" x14ac:dyDescent="0.2">
      <c r="E2544" s="26"/>
    </row>
    <row r="2545" spans="5:5" x14ac:dyDescent="0.2">
      <c r="E2545" s="26"/>
    </row>
    <row r="2546" spans="5:5" x14ac:dyDescent="0.2">
      <c r="E2546" s="26"/>
    </row>
    <row r="2547" spans="5:5" x14ac:dyDescent="0.2">
      <c r="E2547" s="26"/>
    </row>
    <row r="2548" spans="5:5" x14ac:dyDescent="0.2">
      <c r="E2548" s="26"/>
    </row>
    <row r="2549" spans="5:5" x14ac:dyDescent="0.2">
      <c r="E2549" s="26"/>
    </row>
    <row r="2550" spans="5:5" x14ac:dyDescent="0.2">
      <c r="E2550" s="26"/>
    </row>
    <row r="2551" spans="5:5" x14ac:dyDescent="0.2">
      <c r="E2551" s="26"/>
    </row>
    <row r="2552" spans="5:5" x14ac:dyDescent="0.2">
      <c r="E2552" s="26"/>
    </row>
    <row r="2553" spans="5:5" x14ac:dyDescent="0.2">
      <c r="E2553" s="26"/>
    </row>
    <row r="2554" spans="5:5" x14ac:dyDescent="0.2">
      <c r="E2554" s="26"/>
    </row>
    <row r="2555" spans="5:5" x14ac:dyDescent="0.2">
      <c r="E2555" s="26"/>
    </row>
    <row r="2556" spans="5:5" x14ac:dyDescent="0.2">
      <c r="E2556" s="26"/>
    </row>
    <row r="2557" spans="5:5" x14ac:dyDescent="0.2">
      <c r="E2557" s="26"/>
    </row>
    <row r="2558" spans="5:5" x14ac:dyDescent="0.2">
      <c r="E2558" s="26"/>
    </row>
    <row r="2559" spans="5:5" x14ac:dyDescent="0.2">
      <c r="E2559" s="26"/>
    </row>
    <row r="2560" spans="5:5" x14ac:dyDescent="0.2">
      <c r="E2560" s="26"/>
    </row>
    <row r="2561" spans="5:5" x14ac:dyDescent="0.2">
      <c r="E2561" s="26"/>
    </row>
    <row r="2562" spans="5:5" x14ac:dyDescent="0.2">
      <c r="E2562" s="26"/>
    </row>
    <row r="2563" spans="5:5" x14ac:dyDescent="0.2">
      <c r="E2563" s="26"/>
    </row>
    <row r="2564" spans="5:5" x14ac:dyDescent="0.2">
      <c r="E2564" s="26"/>
    </row>
    <row r="2565" spans="5:5" x14ac:dyDescent="0.2">
      <c r="E2565" s="26"/>
    </row>
    <row r="2566" spans="5:5" x14ac:dyDescent="0.2">
      <c r="E2566" s="26"/>
    </row>
    <row r="2567" spans="5:5" x14ac:dyDescent="0.2">
      <c r="E2567" s="26"/>
    </row>
    <row r="2568" spans="5:5" x14ac:dyDescent="0.2">
      <c r="E2568" s="26"/>
    </row>
    <row r="2569" spans="5:5" x14ac:dyDescent="0.2">
      <c r="E2569" s="26"/>
    </row>
    <row r="2570" spans="5:5" x14ac:dyDescent="0.2">
      <c r="E2570" s="26"/>
    </row>
    <row r="2571" spans="5:5" x14ac:dyDescent="0.2">
      <c r="E2571" s="26"/>
    </row>
    <row r="2572" spans="5:5" x14ac:dyDescent="0.2">
      <c r="E2572" s="26"/>
    </row>
    <row r="2573" spans="5:5" x14ac:dyDescent="0.2">
      <c r="E2573" s="26"/>
    </row>
    <row r="2574" spans="5:5" x14ac:dyDescent="0.2">
      <c r="E2574" s="26"/>
    </row>
    <row r="2575" spans="5:5" x14ac:dyDescent="0.2">
      <c r="E2575" s="26"/>
    </row>
    <row r="2576" spans="5:5" x14ac:dyDescent="0.2">
      <c r="E2576" s="26"/>
    </row>
    <row r="2577" spans="5:5" x14ac:dyDescent="0.2">
      <c r="E2577" s="26"/>
    </row>
    <row r="2578" spans="5:5" x14ac:dyDescent="0.2">
      <c r="E2578" s="26"/>
    </row>
    <row r="2579" spans="5:5" x14ac:dyDescent="0.2">
      <c r="E2579" s="26"/>
    </row>
    <row r="2580" spans="5:5" x14ac:dyDescent="0.2">
      <c r="E2580" s="26"/>
    </row>
    <row r="2581" spans="5:5" x14ac:dyDescent="0.2">
      <c r="E2581" s="26"/>
    </row>
    <row r="2582" spans="5:5" x14ac:dyDescent="0.2">
      <c r="E2582" s="26"/>
    </row>
    <row r="2583" spans="5:5" x14ac:dyDescent="0.2">
      <c r="E2583" s="26"/>
    </row>
    <row r="2584" spans="5:5" x14ac:dyDescent="0.2">
      <c r="E2584" s="26"/>
    </row>
    <row r="2585" spans="5:5" x14ac:dyDescent="0.2">
      <c r="E2585" s="26"/>
    </row>
    <row r="2586" spans="5:5" x14ac:dyDescent="0.2">
      <c r="E2586" s="26"/>
    </row>
    <row r="2587" spans="5:5" x14ac:dyDescent="0.2">
      <c r="E2587" s="26"/>
    </row>
    <row r="2588" spans="5:5" x14ac:dyDescent="0.2">
      <c r="E2588" s="26"/>
    </row>
    <row r="2589" spans="5:5" x14ac:dyDescent="0.2">
      <c r="E2589" s="26"/>
    </row>
    <row r="2590" spans="5:5" x14ac:dyDescent="0.2">
      <c r="E2590" s="26"/>
    </row>
    <row r="2591" spans="5:5" x14ac:dyDescent="0.2">
      <c r="E2591" s="26"/>
    </row>
    <row r="2592" spans="5:5" x14ac:dyDescent="0.2">
      <c r="E2592" s="26"/>
    </row>
    <row r="2593" spans="5:5" x14ac:dyDescent="0.2">
      <c r="E2593" s="26"/>
    </row>
    <row r="2594" spans="5:5" x14ac:dyDescent="0.2">
      <c r="E2594" s="26"/>
    </row>
    <row r="2595" spans="5:5" x14ac:dyDescent="0.2">
      <c r="E2595" s="26"/>
    </row>
    <row r="2596" spans="5:5" x14ac:dyDescent="0.2">
      <c r="E2596" s="26"/>
    </row>
    <row r="2597" spans="5:5" x14ac:dyDescent="0.2">
      <c r="E2597" s="26"/>
    </row>
    <row r="2598" spans="5:5" x14ac:dyDescent="0.2">
      <c r="E2598" s="26"/>
    </row>
    <row r="2599" spans="5:5" x14ac:dyDescent="0.2">
      <c r="E2599" s="26"/>
    </row>
    <row r="2600" spans="5:5" x14ac:dyDescent="0.2">
      <c r="E2600" s="26"/>
    </row>
    <row r="2601" spans="5:5" x14ac:dyDescent="0.2">
      <c r="E2601" s="26"/>
    </row>
    <row r="2602" spans="5:5" x14ac:dyDescent="0.2">
      <c r="E2602" s="26"/>
    </row>
    <row r="2603" spans="5:5" x14ac:dyDescent="0.2">
      <c r="E2603" s="26"/>
    </row>
    <row r="2604" spans="5:5" x14ac:dyDescent="0.2">
      <c r="E2604" s="26"/>
    </row>
    <row r="2605" spans="5:5" x14ac:dyDescent="0.2">
      <c r="E2605" s="26"/>
    </row>
    <row r="2606" spans="5:5" x14ac:dyDescent="0.2">
      <c r="E2606" s="26"/>
    </row>
    <row r="2607" spans="5:5" x14ac:dyDescent="0.2">
      <c r="E2607" s="26"/>
    </row>
    <row r="2608" spans="5:5" x14ac:dyDescent="0.2">
      <c r="E2608" s="26"/>
    </row>
    <row r="2609" spans="5:5" x14ac:dyDescent="0.2">
      <c r="E2609" s="26"/>
    </row>
    <row r="2610" spans="5:5" x14ac:dyDescent="0.2">
      <c r="E2610" s="26"/>
    </row>
    <row r="2611" spans="5:5" x14ac:dyDescent="0.2">
      <c r="E2611" s="26"/>
    </row>
    <row r="2612" spans="5:5" x14ac:dyDescent="0.2">
      <c r="E2612" s="26"/>
    </row>
    <row r="2613" spans="5:5" x14ac:dyDescent="0.2">
      <c r="E2613" s="26"/>
    </row>
    <row r="2614" spans="5:5" x14ac:dyDescent="0.2">
      <c r="E2614" s="26"/>
    </row>
    <row r="2615" spans="5:5" x14ac:dyDescent="0.2">
      <c r="E2615" s="26"/>
    </row>
    <row r="2616" spans="5:5" x14ac:dyDescent="0.2">
      <c r="E2616" s="26"/>
    </row>
    <row r="2617" spans="5:5" x14ac:dyDescent="0.2">
      <c r="E2617" s="26"/>
    </row>
    <row r="2618" spans="5:5" x14ac:dyDescent="0.2">
      <c r="E2618" s="26"/>
    </row>
    <row r="2619" spans="5:5" x14ac:dyDescent="0.2">
      <c r="E2619" s="26"/>
    </row>
    <row r="2620" spans="5:5" x14ac:dyDescent="0.2">
      <c r="E2620" s="26"/>
    </row>
    <row r="2621" spans="5:5" x14ac:dyDescent="0.2">
      <c r="E2621" s="26"/>
    </row>
    <row r="2622" spans="5:5" x14ac:dyDescent="0.2">
      <c r="E2622" s="26"/>
    </row>
    <row r="2623" spans="5:5" x14ac:dyDescent="0.2">
      <c r="E2623" s="26"/>
    </row>
    <row r="2624" spans="5:5" x14ac:dyDescent="0.2">
      <c r="E2624" s="26"/>
    </row>
    <row r="2625" spans="5:5" x14ac:dyDescent="0.2">
      <c r="E2625" s="26"/>
    </row>
    <row r="2626" spans="5:5" x14ac:dyDescent="0.2">
      <c r="E2626" s="26"/>
    </row>
    <row r="2627" spans="5:5" x14ac:dyDescent="0.2">
      <c r="E2627" s="26"/>
    </row>
    <row r="2628" spans="5:5" x14ac:dyDescent="0.2">
      <c r="E2628" s="26"/>
    </row>
    <row r="2629" spans="5:5" x14ac:dyDescent="0.2">
      <c r="E2629" s="26"/>
    </row>
    <row r="2630" spans="5:5" x14ac:dyDescent="0.2">
      <c r="E2630" s="26"/>
    </row>
    <row r="2631" spans="5:5" x14ac:dyDescent="0.2">
      <c r="E2631" s="26"/>
    </row>
    <row r="2632" spans="5:5" x14ac:dyDescent="0.2">
      <c r="E2632" s="26"/>
    </row>
    <row r="2633" spans="5:5" x14ac:dyDescent="0.2">
      <c r="E2633" s="26"/>
    </row>
    <row r="2634" spans="5:5" x14ac:dyDescent="0.2">
      <c r="E2634" s="26"/>
    </row>
    <row r="2635" spans="5:5" x14ac:dyDescent="0.2">
      <c r="E2635" s="26"/>
    </row>
    <row r="2636" spans="5:5" x14ac:dyDescent="0.2">
      <c r="E2636" s="26"/>
    </row>
    <row r="2637" spans="5:5" x14ac:dyDescent="0.2">
      <c r="E2637" s="26"/>
    </row>
    <row r="2638" spans="5:5" x14ac:dyDescent="0.2">
      <c r="E2638" s="26"/>
    </row>
    <row r="2639" spans="5:5" x14ac:dyDescent="0.2">
      <c r="E2639" s="26"/>
    </row>
    <row r="2640" spans="5:5" x14ac:dyDescent="0.2">
      <c r="E2640" s="26"/>
    </row>
    <row r="2641" spans="5:5" x14ac:dyDescent="0.2">
      <c r="E2641" s="26"/>
    </row>
    <row r="2642" spans="5:5" x14ac:dyDescent="0.2">
      <c r="E2642" s="26"/>
    </row>
    <row r="2643" spans="5:5" x14ac:dyDescent="0.2">
      <c r="E2643" s="26"/>
    </row>
    <row r="2644" spans="5:5" x14ac:dyDescent="0.2">
      <c r="E2644" s="26"/>
    </row>
    <row r="2645" spans="5:5" x14ac:dyDescent="0.2">
      <c r="E2645" s="26"/>
    </row>
    <row r="2646" spans="5:5" x14ac:dyDescent="0.2">
      <c r="E2646" s="26"/>
    </row>
    <row r="2647" spans="5:5" x14ac:dyDescent="0.2">
      <c r="E2647" s="26"/>
    </row>
    <row r="2648" spans="5:5" x14ac:dyDescent="0.2">
      <c r="E2648" s="26"/>
    </row>
    <row r="2649" spans="5:5" x14ac:dyDescent="0.2">
      <c r="E2649" s="26"/>
    </row>
    <row r="2650" spans="5:5" x14ac:dyDescent="0.2">
      <c r="E2650" s="26"/>
    </row>
    <row r="2651" spans="5:5" x14ac:dyDescent="0.2">
      <c r="E2651" s="26"/>
    </row>
    <row r="2652" spans="5:5" x14ac:dyDescent="0.2">
      <c r="E2652" s="26"/>
    </row>
    <row r="2653" spans="5:5" x14ac:dyDescent="0.2">
      <c r="E2653" s="26"/>
    </row>
    <row r="2654" spans="5:5" x14ac:dyDescent="0.2">
      <c r="E2654" s="26"/>
    </row>
    <row r="2655" spans="5:5" x14ac:dyDescent="0.2">
      <c r="E2655" s="26"/>
    </row>
    <row r="2656" spans="5:5" x14ac:dyDescent="0.2">
      <c r="E2656" s="26"/>
    </row>
    <row r="2657" spans="5:5" x14ac:dyDescent="0.2">
      <c r="E2657" s="26"/>
    </row>
    <row r="2658" spans="5:5" x14ac:dyDescent="0.2">
      <c r="E2658" s="26"/>
    </row>
    <row r="2659" spans="5:5" x14ac:dyDescent="0.2">
      <c r="E2659" s="26"/>
    </row>
    <row r="2660" spans="5:5" x14ac:dyDescent="0.2">
      <c r="E2660" s="26"/>
    </row>
    <row r="2661" spans="5:5" x14ac:dyDescent="0.2">
      <c r="E2661" s="26"/>
    </row>
    <row r="2662" spans="5:5" x14ac:dyDescent="0.2">
      <c r="E2662" s="26"/>
    </row>
    <row r="2663" spans="5:5" x14ac:dyDescent="0.2">
      <c r="E2663" s="26"/>
    </row>
    <row r="2664" spans="5:5" x14ac:dyDescent="0.2">
      <c r="E2664" s="26"/>
    </row>
    <row r="2665" spans="5:5" x14ac:dyDescent="0.2">
      <c r="E2665" s="26"/>
    </row>
    <row r="2666" spans="5:5" x14ac:dyDescent="0.2">
      <c r="E2666" s="26"/>
    </row>
    <row r="2667" spans="5:5" x14ac:dyDescent="0.2">
      <c r="E2667" s="26"/>
    </row>
    <row r="2668" spans="5:5" x14ac:dyDescent="0.2">
      <c r="E2668" s="26"/>
    </row>
    <row r="2669" spans="5:5" x14ac:dyDescent="0.2">
      <c r="E2669" s="26"/>
    </row>
    <row r="2670" spans="5:5" x14ac:dyDescent="0.2">
      <c r="E2670" s="26"/>
    </row>
    <row r="2671" spans="5:5" x14ac:dyDescent="0.2">
      <c r="E2671" s="26"/>
    </row>
    <row r="2672" spans="5:5" x14ac:dyDescent="0.2">
      <c r="E2672" s="26"/>
    </row>
    <row r="2673" spans="5:5" x14ac:dyDescent="0.2">
      <c r="E2673" s="26"/>
    </row>
    <row r="2674" spans="5:5" x14ac:dyDescent="0.2">
      <c r="E2674" s="26"/>
    </row>
    <row r="2675" spans="5:5" x14ac:dyDescent="0.2">
      <c r="E2675" s="26"/>
    </row>
    <row r="2676" spans="5:5" x14ac:dyDescent="0.2">
      <c r="E2676" s="26"/>
    </row>
    <row r="2677" spans="5:5" x14ac:dyDescent="0.2">
      <c r="E2677" s="26"/>
    </row>
    <row r="2678" spans="5:5" x14ac:dyDescent="0.2">
      <c r="E2678" s="26"/>
    </row>
    <row r="2679" spans="5:5" x14ac:dyDescent="0.2">
      <c r="E2679" s="26"/>
    </row>
    <row r="2680" spans="5:5" x14ac:dyDescent="0.2">
      <c r="E2680" s="26"/>
    </row>
    <row r="2681" spans="5:5" x14ac:dyDescent="0.2">
      <c r="E2681" s="26"/>
    </row>
    <row r="2682" spans="5:5" x14ac:dyDescent="0.2">
      <c r="E2682" s="26"/>
    </row>
    <row r="2683" spans="5:5" x14ac:dyDescent="0.2">
      <c r="E2683" s="26"/>
    </row>
    <row r="2684" spans="5:5" x14ac:dyDescent="0.2">
      <c r="E2684" s="26"/>
    </row>
    <row r="2685" spans="5:5" x14ac:dyDescent="0.2">
      <c r="E2685" s="26"/>
    </row>
    <row r="2686" spans="5:5" x14ac:dyDescent="0.2">
      <c r="E2686" s="26"/>
    </row>
    <row r="2687" spans="5:5" x14ac:dyDescent="0.2">
      <c r="E2687" s="26"/>
    </row>
    <row r="2688" spans="5:5" x14ac:dyDescent="0.2">
      <c r="E2688" s="26"/>
    </row>
    <row r="2689" spans="5:5" x14ac:dyDescent="0.2">
      <c r="E2689" s="26"/>
    </row>
    <row r="2690" spans="5:5" x14ac:dyDescent="0.2">
      <c r="E2690" s="26"/>
    </row>
    <row r="2691" spans="5:5" x14ac:dyDescent="0.2">
      <c r="E2691" s="26"/>
    </row>
    <row r="2692" spans="5:5" x14ac:dyDescent="0.2">
      <c r="E2692" s="26"/>
    </row>
    <row r="2693" spans="5:5" x14ac:dyDescent="0.2">
      <c r="E2693" s="26"/>
    </row>
    <row r="2694" spans="5:5" x14ac:dyDescent="0.2">
      <c r="E2694" s="26"/>
    </row>
    <row r="2695" spans="5:5" x14ac:dyDescent="0.2">
      <c r="E2695" s="26"/>
    </row>
    <row r="2696" spans="5:5" x14ac:dyDescent="0.2">
      <c r="E2696" s="26"/>
    </row>
    <row r="2697" spans="5:5" x14ac:dyDescent="0.2">
      <c r="E2697" s="26"/>
    </row>
    <row r="2698" spans="5:5" x14ac:dyDescent="0.2">
      <c r="E2698" s="26"/>
    </row>
    <row r="2699" spans="5:5" x14ac:dyDescent="0.2">
      <c r="E2699" s="26"/>
    </row>
    <row r="2700" spans="5:5" x14ac:dyDescent="0.2">
      <c r="E2700" s="26"/>
    </row>
    <row r="2701" spans="5:5" x14ac:dyDescent="0.2">
      <c r="E2701" s="26"/>
    </row>
    <row r="2702" spans="5:5" x14ac:dyDescent="0.2">
      <c r="E2702" s="26"/>
    </row>
    <row r="2703" spans="5:5" x14ac:dyDescent="0.2">
      <c r="E2703" s="26"/>
    </row>
    <row r="2704" spans="5:5" x14ac:dyDescent="0.2">
      <c r="E2704" s="26"/>
    </row>
    <row r="2705" spans="5:5" x14ac:dyDescent="0.2">
      <c r="E2705" s="26"/>
    </row>
    <row r="2706" spans="5:5" x14ac:dyDescent="0.2">
      <c r="E2706" s="26"/>
    </row>
    <row r="2707" spans="5:5" x14ac:dyDescent="0.2">
      <c r="E2707" s="26"/>
    </row>
    <row r="2708" spans="5:5" x14ac:dyDescent="0.2">
      <c r="E2708" s="26"/>
    </row>
    <row r="2709" spans="5:5" x14ac:dyDescent="0.2">
      <c r="E2709" s="26"/>
    </row>
    <row r="2710" spans="5:5" x14ac:dyDescent="0.2">
      <c r="E2710" s="26"/>
    </row>
    <row r="2711" spans="5:5" x14ac:dyDescent="0.2">
      <c r="E2711" s="26"/>
    </row>
    <row r="2712" spans="5:5" x14ac:dyDescent="0.2">
      <c r="E2712" s="26"/>
    </row>
    <row r="2713" spans="5:5" x14ac:dyDescent="0.2">
      <c r="E2713" s="26"/>
    </row>
    <row r="2714" spans="5:5" x14ac:dyDescent="0.2">
      <c r="E2714" s="26"/>
    </row>
    <row r="2715" spans="5:5" x14ac:dyDescent="0.2">
      <c r="E2715" s="26"/>
    </row>
    <row r="2716" spans="5:5" x14ac:dyDescent="0.2">
      <c r="E2716" s="26"/>
    </row>
    <row r="2717" spans="5:5" x14ac:dyDescent="0.2">
      <c r="E2717" s="26"/>
    </row>
    <row r="2718" spans="5:5" x14ac:dyDescent="0.2">
      <c r="E2718" s="26"/>
    </row>
    <row r="2719" spans="5:5" x14ac:dyDescent="0.2">
      <c r="E2719" s="26"/>
    </row>
    <row r="2720" spans="5:5" x14ac:dyDescent="0.2">
      <c r="E2720" s="26"/>
    </row>
    <row r="2721" spans="5:5" x14ac:dyDescent="0.2">
      <c r="E2721" s="26"/>
    </row>
    <row r="2722" spans="5:5" x14ac:dyDescent="0.2">
      <c r="E2722" s="26"/>
    </row>
    <row r="2723" spans="5:5" x14ac:dyDescent="0.2">
      <c r="E2723" s="26"/>
    </row>
    <row r="2724" spans="5:5" x14ac:dyDescent="0.2">
      <c r="E2724" s="26"/>
    </row>
    <row r="2725" spans="5:5" x14ac:dyDescent="0.2">
      <c r="E2725" s="26"/>
    </row>
    <row r="2726" spans="5:5" x14ac:dyDescent="0.2">
      <c r="E2726" s="26"/>
    </row>
    <row r="2727" spans="5:5" x14ac:dyDescent="0.2">
      <c r="E2727" s="26"/>
    </row>
    <row r="2728" spans="5:5" x14ac:dyDescent="0.2">
      <c r="E2728" s="26"/>
    </row>
    <row r="2729" spans="5:5" x14ac:dyDescent="0.2">
      <c r="E2729" s="26"/>
    </row>
    <row r="2730" spans="5:5" x14ac:dyDescent="0.2">
      <c r="E2730" s="26"/>
    </row>
    <row r="2731" spans="5:5" x14ac:dyDescent="0.2">
      <c r="E2731" s="26"/>
    </row>
    <row r="2732" spans="5:5" x14ac:dyDescent="0.2">
      <c r="E2732" s="26"/>
    </row>
    <row r="2733" spans="5:5" x14ac:dyDescent="0.2">
      <c r="E2733" s="26"/>
    </row>
    <row r="2734" spans="5:5" x14ac:dyDescent="0.2">
      <c r="E2734" s="26"/>
    </row>
    <row r="2735" spans="5:5" x14ac:dyDescent="0.2">
      <c r="E2735" s="26"/>
    </row>
    <row r="2736" spans="5:5" x14ac:dyDescent="0.2">
      <c r="E2736" s="26"/>
    </row>
    <row r="2737" spans="5:5" x14ac:dyDescent="0.2">
      <c r="E2737" s="26"/>
    </row>
    <row r="2738" spans="5:5" x14ac:dyDescent="0.2">
      <c r="E2738" s="26"/>
    </row>
    <row r="2739" spans="5:5" x14ac:dyDescent="0.2">
      <c r="E2739" s="26"/>
    </row>
    <row r="2740" spans="5:5" x14ac:dyDescent="0.2">
      <c r="E2740" s="26"/>
    </row>
    <row r="2741" spans="5:5" x14ac:dyDescent="0.2">
      <c r="E2741" s="26"/>
    </row>
    <row r="2742" spans="5:5" x14ac:dyDescent="0.2">
      <c r="E2742" s="26"/>
    </row>
    <row r="2743" spans="5:5" x14ac:dyDescent="0.2">
      <c r="E2743" s="26"/>
    </row>
    <row r="2744" spans="5:5" x14ac:dyDescent="0.2">
      <c r="E2744" s="26"/>
    </row>
    <row r="2745" spans="5:5" x14ac:dyDescent="0.2">
      <c r="E2745" s="26"/>
    </row>
    <row r="2746" spans="5:5" x14ac:dyDescent="0.2">
      <c r="E2746" s="26"/>
    </row>
    <row r="2747" spans="5:5" x14ac:dyDescent="0.2">
      <c r="E2747" s="26"/>
    </row>
    <row r="2748" spans="5:5" x14ac:dyDescent="0.2">
      <c r="E2748" s="26"/>
    </row>
    <row r="2749" spans="5:5" x14ac:dyDescent="0.2">
      <c r="E2749" s="26"/>
    </row>
    <row r="2750" spans="5:5" x14ac:dyDescent="0.2">
      <c r="E2750" s="26"/>
    </row>
    <row r="2751" spans="5:5" x14ac:dyDescent="0.2">
      <c r="E2751" s="26"/>
    </row>
    <row r="2752" spans="5:5" x14ac:dyDescent="0.2">
      <c r="E2752" s="26"/>
    </row>
    <row r="2753" spans="5:5" x14ac:dyDescent="0.2">
      <c r="E2753" s="26"/>
    </row>
    <row r="2754" spans="5:5" x14ac:dyDescent="0.2">
      <c r="E2754" s="26"/>
    </row>
    <row r="2755" spans="5:5" x14ac:dyDescent="0.2">
      <c r="E2755" s="26"/>
    </row>
    <row r="2756" spans="5:5" x14ac:dyDescent="0.2">
      <c r="E2756" s="26"/>
    </row>
    <row r="2757" spans="5:5" x14ac:dyDescent="0.2">
      <c r="E2757" s="26"/>
    </row>
    <row r="2758" spans="5:5" x14ac:dyDescent="0.2">
      <c r="E2758" s="26"/>
    </row>
    <row r="2759" spans="5:5" x14ac:dyDescent="0.2">
      <c r="E2759" s="26"/>
    </row>
    <row r="2760" spans="5:5" x14ac:dyDescent="0.2">
      <c r="E2760" s="26"/>
    </row>
    <row r="2761" spans="5:5" x14ac:dyDescent="0.2">
      <c r="E2761" s="26"/>
    </row>
    <row r="2762" spans="5:5" x14ac:dyDescent="0.2">
      <c r="E2762" s="26"/>
    </row>
    <row r="2763" spans="5:5" x14ac:dyDescent="0.2">
      <c r="E2763" s="26"/>
    </row>
    <row r="2764" spans="5:5" x14ac:dyDescent="0.2">
      <c r="E2764" s="26"/>
    </row>
    <row r="2765" spans="5:5" x14ac:dyDescent="0.2">
      <c r="E2765" s="26"/>
    </row>
    <row r="2766" spans="5:5" x14ac:dyDescent="0.2">
      <c r="E2766" s="26"/>
    </row>
    <row r="2767" spans="5:5" x14ac:dyDescent="0.2">
      <c r="E2767" s="26"/>
    </row>
    <row r="2768" spans="5:5" x14ac:dyDescent="0.2">
      <c r="E2768" s="26"/>
    </row>
    <row r="2769" spans="5:5" x14ac:dyDescent="0.2">
      <c r="E2769" s="26"/>
    </row>
    <row r="2770" spans="5:5" x14ac:dyDescent="0.2">
      <c r="E2770" s="26"/>
    </row>
    <row r="2771" spans="5:5" x14ac:dyDescent="0.2">
      <c r="E2771" s="26"/>
    </row>
    <row r="2772" spans="5:5" x14ac:dyDescent="0.2">
      <c r="E2772" s="26"/>
    </row>
    <row r="2773" spans="5:5" x14ac:dyDescent="0.2">
      <c r="E2773" s="26"/>
    </row>
    <row r="2774" spans="5:5" x14ac:dyDescent="0.2">
      <c r="E2774" s="26"/>
    </row>
    <row r="2775" spans="5:5" x14ac:dyDescent="0.2">
      <c r="E2775" s="26"/>
    </row>
    <row r="2776" spans="5:5" x14ac:dyDescent="0.2">
      <c r="E2776" s="26"/>
    </row>
    <row r="2777" spans="5:5" x14ac:dyDescent="0.2">
      <c r="E2777" s="26"/>
    </row>
    <row r="2778" spans="5:5" x14ac:dyDescent="0.2">
      <c r="E2778" s="26"/>
    </row>
    <row r="2779" spans="5:5" x14ac:dyDescent="0.2">
      <c r="E2779" s="26"/>
    </row>
    <row r="2780" spans="5:5" x14ac:dyDescent="0.2">
      <c r="E2780" s="26"/>
    </row>
    <row r="2781" spans="5:5" x14ac:dyDescent="0.2">
      <c r="E2781" s="26"/>
    </row>
    <row r="2782" spans="5:5" x14ac:dyDescent="0.2">
      <c r="E2782" s="26"/>
    </row>
    <row r="2783" spans="5:5" x14ac:dyDescent="0.2">
      <c r="E2783" s="26"/>
    </row>
    <row r="2784" spans="5:5" x14ac:dyDescent="0.2">
      <c r="E2784" s="26"/>
    </row>
    <row r="2785" spans="5:5" x14ac:dyDescent="0.2">
      <c r="E2785" s="26"/>
    </row>
    <row r="2786" spans="5:5" x14ac:dyDescent="0.2">
      <c r="E2786" s="26"/>
    </row>
    <row r="2787" spans="5:5" x14ac:dyDescent="0.2">
      <c r="E2787" s="26"/>
    </row>
    <row r="2788" spans="5:5" x14ac:dyDescent="0.2">
      <c r="E2788" s="26"/>
    </row>
    <row r="2789" spans="5:5" x14ac:dyDescent="0.2">
      <c r="E2789" s="26"/>
    </row>
    <row r="2790" spans="5:5" x14ac:dyDescent="0.2">
      <c r="E2790" s="26"/>
    </row>
    <row r="2791" spans="5:5" x14ac:dyDescent="0.2">
      <c r="E2791" s="26"/>
    </row>
    <row r="2792" spans="5:5" x14ac:dyDescent="0.2">
      <c r="E2792" s="26"/>
    </row>
    <row r="2793" spans="5:5" x14ac:dyDescent="0.2">
      <c r="E2793" s="26"/>
    </row>
    <row r="2794" spans="5:5" x14ac:dyDescent="0.2">
      <c r="E2794" s="26"/>
    </row>
    <row r="2795" spans="5:5" x14ac:dyDescent="0.2">
      <c r="E2795" s="26"/>
    </row>
    <row r="2796" spans="5:5" x14ac:dyDescent="0.2">
      <c r="E2796" s="26"/>
    </row>
    <row r="2797" spans="5:5" x14ac:dyDescent="0.2">
      <c r="E2797" s="26"/>
    </row>
    <row r="2798" spans="5:5" x14ac:dyDescent="0.2">
      <c r="E2798" s="26"/>
    </row>
    <row r="2799" spans="5:5" x14ac:dyDescent="0.2">
      <c r="E2799" s="26"/>
    </row>
    <row r="2800" spans="5:5" x14ac:dyDescent="0.2">
      <c r="E2800" s="26"/>
    </row>
    <row r="2801" spans="5:5" x14ac:dyDescent="0.2">
      <c r="E2801" s="26"/>
    </row>
    <row r="2802" spans="5:5" x14ac:dyDescent="0.2">
      <c r="E2802" s="26"/>
    </row>
    <row r="2803" spans="5:5" x14ac:dyDescent="0.2">
      <c r="E2803" s="26"/>
    </row>
    <row r="2804" spans="5:5" x14ac:dyDescent="0.2">
      <c r="E2804" s="26"/>
    </row>
    <row r="2805" spans="5:5" x14ac:dyDescent="0.2">
      <c r="E2805" s="26"/>
    </row>
    <row r="2806" spans="5:5" x14ac:dyDescent="0.2">
      <c r="E2806" s="26"/>
    </row>
    <row r="2807" spans="5:5" x14ac:dyDescent="0.2">
      <c r="E2807" s="26"/>
    </row>
    <row r="2808" spans="5:5" x14ac:dyDescent="0.2">
      <c r="E2808" s="26"/>
    </row>
    <row r="2809" spans="5:5" x14ac:dyDescent="0.2">
      <c r="E2809" s="26"/>
    </row>
    <row r="2810" spans="5:5" x14ac:dyDescent="0.2">
      <c r="E2810" s="26"/>
    </row>
    <row r="2811" spans="5:5" x14ac:dyDescent="0.2">
      <c r="E2811" s="26"/>
    </row>
    <row r="2812" spans="5:5" x14ac:dyDescent="0.2">
      <c r="E2812" s="26"/>
    </row>
    <row r="2813" spans="5:5" x14ac:dyDescent="0.2">
      <c r="E2813" s="26"/>
    </row>
    <row r="2814" spans="5:5" x14ac:dyDescent="0.2">
      <c r="E2814" s="26"/>
    </row>
    <row r="2815" spans="5:5" x14ac:dyDescent="0.2">
      <c r="E2815" s="26"/>
    </row>
    <row r="2816" spans="5:5" x14ac:dyDescent="0.2">
      <c r="E2816" s="26"/>
    </row>
    <row r="2817" spans="5:5" x14ac:dyDescent="0.2">
      <c r="E2817" s="26"/>
    </row>
    <row r="2818" spans="5:5" x14ac:dyDescent="0.2">
      <c r="E2818" s="26"/>
    </row>
    <row r="2819" spans="5:5" x14ac:dyDescent="0.2">
      <c r="E2819" s="26"/>
    </row>
    <row r="2820" spans="5:5" x14ac:dyDescent="0.2">
      <c r="E2820" s="26"/>
    </row>
    <row r="2821" spans="5:5" x14ac:dyDescent="0.2">
      <c r="E2821" s="26"/>
    </row>
    <row r="2822" spans="5:5" x14ac:dyDescent="0.2">
      <c r="E2822" s="26"/>
    </row>
    <row r="2823" spans="5:5" x14ac:dyDescent="0.2">
      <c r="E2823" s="26"/>
    </row>
    <row r="2824" spans="5:5" x14ac:dyDescent="0.2">
      <c r="E2824" s="26"/>
    </row>
    <row r="2825" spans="5:5" x14ac:dyDescent="0.2">
      <c r="E2825" s="26"/>
    </row>
    <row r="2826" spans="5:5" x14ac:dyDescent="0.2">
      <c r="E2826" s="26"/>
    </row>
    <row r="2827" spans="5:5" x14ac:dyDescent="0.2">
      <c r="E2827" s="26"/>
    </row>
    <row r="2828" spans="5:5" x14ac:dyDescent="0.2">
      <c r="E2828" s="26"/>
    </row>
    <row r="2829" spans="5:5" x14ac:dyDescent="0.2">
      <c r="E2829" s="26"/>
    </row>
    <row r="2830" spans="5:5" x14ac:dyDescent="0.2">
      <c r="E2830" s="26"/>
    </row>
    <row r="2831" spans="5:5" x14ac:dyDescent="0.2">
      <c r="E2831" s="26"/>
    </row>
    <row r="2832" spans="5:5" x14ac:dyDescent="0.2">
      <c r="E2832" s="26"/>
    </row>
    <row r="2833" spans="5:5" x14ac:dyDescent="0.2">
      <c r="E2833" s="26"/>
    </row>
    <row r="2834" spans="5:5" x14ac:dyDescent="0.2">
      <c r="E2834" s="26"/>
    </row>
    <row r="2835" spans="5:5" x14ac:dyDescent="0.2">
      <c r="E2835" s="26"/>
    </row>
    <row r="2836" spans="5:5" x14ac:dyDescent="0.2">
      <c r="E2836" s="26"/>
    </row>
    <row r="2837" spans="5:5" x14ac:dyDescent="0.2">
      <c r="E2837" s="26"/>
    </row>
    <row r="2838" spans="5:5" x14ac:dyDescent="0.2">
      <c r="E2838" s="26"/>
    </row>
    <row r="2839" spans="5:5" x14ac:dyDescent="0.2">
      <c r="E2839" s="26"/>
    </row>
    <row r="2840" spans="5:5" x14ac:dyDescent="0.2">
      <c r="E2840" s="26"/>
    </row>
    <row r="2841" spans="5:5" x14ac:dyDescent="0.2">
      <c r="E2841" s="26"/>
    </row>
    <row r="2842" spans="5:5" x14ac:dyDescent="0.2">
      <c r="E2842" s="26"/>
    </row>
    <row r="2843" spans="5:5" x14ac:dyDescent="0.2">
      <c r="E2843" s="26"/>
    </row>
    <row r="2844" spans="5:5" x14ac:dyDescent="0.2">
      <c r="E2844" s="26"/>
    </row>
    <row r="2845" spans="5:5" x14ac:dyDescent="0.2">
      <c r="E2845" s="26"/>
    </row>
    <row r="2846" spans="5:5" x14ac:dyDescent="0.2">
      <c r="E2846" s="26"/>
    </row>
    <row r="2847" spans="5:5" x14ac:dyDescent="0.2">
      <c r="E2847" s="26"/>
    </row>
    <row r="2848" spans="5:5" x14ac:dyDescent="0.2">
      <c r="E2848" s="26"/>
    </row>
    <row r="2849" spans="5:5" x14ac:dyDescent="0.2">
      <c r="E2849" s="26"/>
    </row>
    <row r="2850" spans="5:5" x14ac:dyDescent="0.2">
      <c r="E2850" s="26"/>
    </row>
    <row r="2851" spans="5:5" x14ac:dyDescent="0.2">
      <c r="E2851" s="26"/>
    </row>
    <row r="2852" spans="5:5" x14ac:dyDescent="0.2">
      <c r="E2852" s="26"/>
    </row>
    <row r="2853" spans="5:5" x14ac:dyDescent="0.2">
      <c r="E2853" s="26"/>
    </row>
    <row r="2854" spans="5:5" x14ac:dyDescent="0.2">
      <c r="E2854" s="26"/>
    </row>
    <row r="2855" spans="5:5" x14ac:dyDescent="0.2">
      <c r="E2855" s="26"/>
    </row>
    <row r="2856" spans="5:5" x14ac:dyDescent="0.2">
      <c r="E2856" s="26"/>
    </row>
    <row r="2857" spans="5:5" x14ac:dyDescent="0.2">
      <c r="E2857" s="26"/>
    </row>
    <row r="2858" spans="5:5" x14ac:dyDescent="0.2">
      <c r="E2858" s="26"/>
    </row>
    <row r="2859" spans="5:5" x14ac:dyDescent="0.2">
      <c r="E2859" s="26"/>
    </row>
    <row r="2860" spans="5:5" x14ac:dyDescent="0.2">
      <c r="E2860" s="26"/>
    </row>
    <row r="2861" spans="5:5" x14ac:dyDescent="0.2">
      <c r="E2861" s="26"/>
    </row>
    <row r="2862" spans="5:5" x14ac:dyDescent="0.2">
      <c r="E2862" s="26"/>
    </row>
    <row r="2863" spans="5:5" x14ac:dyDescent="0.2">
      <c r="E2863" s="26"/>
    </row>
    <row r="2864" spans="5:5" x14ac:dyDescent="0.2">
      <c r="E2864" s="26"/>
    </row>
    <row r="2865" spans="5:5" x14ac:dyDescent="0.2">
      <c r="E2865" s="26"/>
    </row>
    <row r="2866" spans="5:5" x14ac:dyDescent="0.2">
      <c r="E2866" s="26"/>
    </row>
    <row r="2867" spans="5:5" x14ac:dyDescent="0.2">
      <c r="E2867" s="26"/>
    </row>
    <row r="2868" spans="5:5" x14ac:dyDescent="0.2">
      <c r="E2868" s="26"/>
    </row>
    <row r="2869" spans="5:5" x14ac:dyDescent="0.2">
      <c r="E2869" s="26"/>
    </row>
    <row r="2870" spans="5:5" x14ac:dyDescent="0.2">
      <c r="E2870" s="26"/>
    </row>
    <row r="2871" spans="5:5" x14ac:dyDescent="0.2">
      <c r="E2871" s="26"/>
    </row>
    <row r="2872" spans="5:5" x14ac:dyDescent="0.2">
      <c r="E2872" s="26"/>
    </row>
    <row r="2873" spans="5:5" x14ac:dyDescent="0.2">
      <c r="E2873" s="26"/>
    </row>
    <row r="2874" spans="5:5" x14ac:dyDescent="0.2">
      <c r="E2874" s="26"/>
    </row>
    <row r="2875" spans="5:5" x14ac:dyDescent="0.2">
      <c r="E2875" s="26"/>
    </row>
    <row r="2876" spans="5:5" x14ac:dyDescent="0.2">
      <c r="E2876" s="26"/>
    </row>
    <row r="2877" spans="5:5" x14ac:dyDescent="0.2">
      <c r="E2877" s="26"/>
    </row>
    <row r="2878" spans="5:5" x14ac:dyDescent="0.2">
      <c r="E2878" s="26"/>
    </row>
    <row r="2879" spans="5:5" x14ac:dyDescent="0.2">
      <c r="E2879" s="26"/>
    </row>
    <row r="2880" spans="5:5" x14ac:dyDescent="0.2">
      <c r="E2880" s="26"/>
    </row>
    <row r="2881" spans="5:5" x14ac:dyDescent="0.2">
      <c r="E2881" s="26"/>
    </row>
    <row r="2882" spans="5:5" x14ac:dyDescent="0.2">
      <c r="E2882" s="26"/>
    </row>
    <row r="2883" spans="5:5" x14ac:dyDescent="0.2">
      <c r="E2883" s="26"/>
    </row>
    <row r="2884" spans="5:5" x14ac:dyDescent="0.2">
      <c r="E2884" s="26"/>
    </row>
    <row r="2885" spans="5:5" x14ac:dyDescent="0.2">
      <c r="E2885" s="26"/>
    </row>
    <row r="2886" spans="5:5" x14ac:dyDescent="0.2">
      <c r="E2886" s="26"/>
    </row>
    <row r="2887" spans="5:5" x14ac:dyDescent="0.2">
      <c r="E2887" s="26"/>
    </row>
    <row r="2888" spans="5:5" x14ac:dyDescent="0.2">
      <c r="E2888" s="26"/>
    </row>
    <row r="2889" spans="5:5" x14ac:dyDescent="0.2">
      <c r="E2889" s="26"/>
    </row>
    <row r="2890" spans="5:5" x14ac:dyDescent="0.2">
      <c r="E2890" s="26"/>
    </row>
    <row r="2891" spans="5:5" x14ac:dyDescent="0.2">
      <c r="E2891" s="26"/>
    </row>
    <row r="2892" spans="5:5" x14ac:dyDescent="0.2">
      <c r="E2892" s="26"/>
    </row>
    <row r="2893" spans="5:5" x14ac:dyDescent="0.2">
      <c r="E2893" s="26"/>
    </row>
    <row r="2894" spans="5:5" x14ac:dyDescent="0.2">
      <c r="E2894" s="26"/>
    </row>
    <row r="2895" spans="5:5" x14ac:dyDescent="0.2">
      <c r="E2895" s="26"/>
    </row>
    <row r="2896" spans="5:5" x14ac:dyDescent="0.2">
      <c r="E2896" s="26"/>
    </row>
    <row r="2897" spans="5:5" x14ac:dyDescent="0.2">
      <c r="E2897" s="26"/>
    </row>
    <row r="2898" spans="5:5" x14ac:dyDescent="0.2">
      <c r="E2898" s="26"/>
    </row>
    <row r="2899" spans="5:5" x14ac:dyDescent="0.2">
      <c r="E2899" s="26"/>
    </row>
    <row r="2900" spans="5:5" x14ac:dyDescent="0.2">
      <c r="E2900" s="26"/>
    </row>
    <row r="2901" spans="5:5" x14ac:dyDescent="0.2">
      <c r="E2901" s="26"/>
    </row>
    <row r="2902" spans="5:5" x14ac:dyDescent="0.2">
      <c r="E2902" s="26"/>
    </row>
    <row r="2903" spans="5:5" x14ac:dyDescent="0.2">
      <c r="E2903" s="26"/>
    </row>
    <row r="2904" spans="5:5" x14ac:dyDescent="0.2">
      <c r="E2904" s="26"/>
    </row>
    <row r="2905" spans="5:5" x14ac:dyDescent="0.2">
      <c r="E2905" s="26"/>
    </row>
    <row r="2906" spans="5:5" x14ac:dyDescent="0.2">
      <c r="E2906" s="26"/>
    </row>
    <row r="2907" spans="5:5" x14ac:dyDescent="0.2">
      <c r="E2907" s="26"/>
    </row>
    <row r="2908" spans="5:5" x14ac:dyDescent="0.2">
      <c r="E2908" s="26"/>
    </row>
    <row r="2909" spans="5:5" x14ac:dyDescent="0.2">
      <c r="E2909" s="26"/>
    </row>
    <row r="2910" spans="5:5" x14ac:dyDescent="0.2">
      <c r="E2910" s="26"/>
    </row>
    <row r="2911" spans="5:5" x14ac:dyDescent="0.2">
      <c r="E2911" s="26"/>
    </row>
    <row r="2912" spans="5:5" x14ac:dyDescent="0.2">
      <c r="E2912" s="26"/>
    </row>
    <row r="2913" spans="5:5" x14ac:dyDescent="0.2">
      <c r="E2913" s="26"/>
    </row>
    <row r="2914" spans="5:5" x14ac:dyDescent="0.2">
      <c r="E2914" s="26"/>
    </row>
    <row r="2915" spans="5:5" x14ac:dyDescent="0.2">
      <c r="E2915" s="26"/>
    </row>
    <row r="2916" spans="5:5" x14ac:dyDescent="0.2">
      <c r="E2916" s="26"/>
    </row>
    <row r="2917" spans="5:5" x14ac:dyDescent="0.2">
      <c r="E2917" s="26"/>
    </row>
    <row r="2918" spans="5:5" x14ac:dyDescent="0.2">
      <c r="E2918" s="26"/>
    </row>
    <row r="2919" spans="5:5" x14ac:dyDescent="0.2">
      <c r="E2919" s="26"/>
    </row>
    <row r="2920" spans="5:5" x14ac:dyDescent="0.2">
      <c r="E2920" s="26"/>
    </row>
    <row r="2921" spans="5:5" x14ac:dyDescent="0.2">
      <c r="E2921" s="26"/>
    </row>
    <row r="2922" spans="5:5" x14ac:dyDescent="0.2">
      <c r="E2922" s="26"/>
    </row>
    <row r="2923" spans="5:5" x14ac:dyDescent="0.2">
      <c r="E2923" s="26"/>
    </row>
    <row r="2924" spans="5:5" x14ac:dyDescent="0.2">
      <c r="E2924" s="26"/>
    </row>
    <row r="2925" spans="5:5" x14ac:dyDescent="0.2">
      <c r="E2925" s="26"/>
    </row>
    <row r="2926" spans="5:5" x14ac:dyDescent="0.2">
      <c r="E2926" s="26"/>
    </row>
    <row r="2927" spans="5:5" x14ac:dyDescent="0.2">
      <c r="E2927" s="26"/>
    </row>
    <row r="2928" spans="5:5" x14ac:dyDescent="0.2">
      <c r="E2928" s="26"/>
    </row>
    <row r="2929" spans="5:5" x14ac:dyDescent="0.2">
      <c r="E2929" s="26"/>
    </row>
    <row r="2930" spans="5:5" x14ac:dyDescent="0.2">
      <c r="E2930" s="26"/>
    </row>
    <row r="2931" spans="5:5" x14ac:dyDescent="0.2">
      <c r="E2931" s="26"/>
    </row>
    <row r="2932" spans="5:5" x14ac:dyDescent="0.2">
      <c r="E2932" s="26"/>
    </row>
    <row r="2933" spans="5:5" x14ac:dyDescent="0.2">
      <c r="E2933" s="26"/>
    </row>
    <row r="2934" spans="5:5" x14ac:dyDescent="0.2">
      <c r="E2934" s="26"/>
    </row>
    <row r="2935" spans="5:5" x14ac:dyDescent="0.2">
      <c r="E2935" s="26"/>
    </row>
    <row r="2936" spans="5:5" x14ac:dyDescent="0.2">
      <c r="E2936" s="26"/>
    </row>
    <row r="2937" spans="5:5" x14ac:dyDescent="0.2">
      <c r="E2937" s="26"/>
    </row>
    <row r="2938" spans="5:5" x14ac:dyDescent="0.2">
      <c r="E2938" s="26"/>
    </row>
    <row r="2939" spans="5:5" x14ac:dyDescent="0.2">
      <c r="E2939" s="26"/>
    </row>
    <row r="2940" spans="5:5" x14ac:dyDescent="0.2">
      <c r="E2940" s="26"/>
    </row>
    <row r="2941" spans="5:5" x14ac:dyDescent="0.2">
      <c r="E2941" s="26"/>
    </row>
    <row r="2942" spans="5:5" x14ac:dyDescent="0.2">
      <c r="E2942" s="26"/>
    </row>
    <row r="2943" spans="5:5" x14ac:dyDescent="0.2">
      <c r="E2943" s="26"/>
    </row>
    <row r="2944" spans="5:5" x14ac:dyDescent="0.2">
      <c r="E2944" s="26"/>
    </row>
    <row r="2945" spans="5:5" x14ac:dyDescent="0.2">
      <c r="E2945" s="26"/>
    </row>
    <row r="2946" spans="5:5" x14ac:dyDescent="0.2">
      <c r="E2946" s="26"/>
    </row>
    <row r="2947" spans="5:5" x14ac:dyDescent="0.2">
      <c r="E2947" s="26"/>
    </row>
    <row r="2948" spans="5:5" x14ac:dyDescent="0.2">
      <c r="E2948" s="26"/>
    </row>
    <row r="2949" spans="5:5" x14ac:dyDescent="0.2">
      <c r="E2949" s="26"/>
    </row>
    <row r="2950" spans="5:5" x14ac:dyDescent="0.2">
      <c r="E2950" s="26"/>
    </row>
    <row r="2951" spans="5:5" x14ac:dyDescent="0.2">
      <c r="E2951" s="26"/>
    </row>
    <row r="2952" spans="5:5" x14ac:dyDescent="0.2">
      <c r="E2952" s="26"/>
    </row>
    <row r="2953" spans="5:5" x14ac:dyDescent="0.2">
      <c r="E2953" s="26"/>
    </row>
    <row r="2954" spans="5:5" x14ac:dyDescent="0.2">
      <c r="E2954" s="26"/>
    </row>
    <row r="2955" spans="5:5" x14ac:dyDescent="0.2">
      <c r="E2955" s="26"/>
    </row>
    <row r="2956" spans="5:5" x14ac:dyDescent="0.2">
      <c r="E2956" s="26"/>
    </row>
    <row r="2957" spans="5:5" x14ac:dyDescent="0.2">
      <c r="E2957" s="26"/>
    </row>
    <row r="2958" spans="5:5" x14ac:dyDescent="0.2">
      <c r="E2958" s="26"/>
    </row>
    <row r="2959" spans="5:5" x14ac:dyDescent="0.2">
      <c r="E2959" s="26"/>
    </row>
    <row r="2960" spans="5:5" x14ac:dyDescent="0.2">
      <c r="E2960" s="26"/>
    </row>
    <row r="2961" spans="5:5" x14ac:dyDescent="0.2">
      <c r="E2961" s="26"/>
    </row>
    <row r="2962" spans="5:5" x14ac:dyDescent="0.2">
      <c r="E2962" s="26"/>
    </row>
    <row r="2963" spans="5:5" x14ac:dyDescent="0.2">
      <c r="E2963" s="26"/>
    </row>
    <row r="2964" spans="5:5" x14ac:dyDescent="0.2">
      <c r="E2964" s="26"/>
    </row>
    <row r="2965" spans="5:5" x14ac:dyDescent="0.2">
      <c r="E2965" s="26"/>
    </row>
    <row r="2966" spans="5:5" x14ac:dyDescent="0.2">
      <c r="E2966" s="26"/>
    </row>
    <row r="2967" spans="5:5" x14ac:dyDescent="0.2">
      <c r="E2967" s="26"/>
    </row>
    <row r="2968" spans="5:5" x14ac:dyDescent="0.2">
      <c r="E2968" s="26"/>
    </row>
    <row r="2969" spans="5:5" x14ac:dyDescent="0.2">
      <c r="E2969" s="26"/>
    </row>
    <row r="2970" spans="5:5" x14ac:dyDescent="0.2">
      <c r="E2970" s="26"/>
    </row>
    <row r="2971" spans="5:5" x14ac:dyDescent="0.2">
      <c r="E2971" s="26"/>
    </row>
    <row r="2972" spans="5:5" x14ac:dyDescent="0.2">
      <c r="E2972" s="26"/>
    </row>
    <row r="2973" spans="5:5" x14ac:dyDescent="0.2">
      <c r="E2973" s="26"/>
    </row>
    <row r="2974" spans="5:5" x14ac:dyDescent="0.2">
      <c r="E2974" s="26"/>
    </row>
    <row r="2975" spans="5:5" x14ac:dyDescent="0.2">
      <c r="E2975" s="26"/>
    </row>
    <row r="2976" spans="5:5" x14ac:dyDescent="0.2">
      <c r="E2976" s="26"/>
    </row>
    <row r="2977" spans="5:5" x14ac:dyDescent="0.2">
      <c r="E2977" s="26"/>
    </row>
    <row r="2978" spans="5:5" x14ac:dyDescent="0.2">
      <c r="E2978" s="26"/>
    </row>
    <row r="2979" spans="5:5" x14ac:dyDescent="0.2">
      <c r="E2979" s="26"/>
    </row>
    <row r="2980" spans="5:5" x14ac:dyDescent="0.2">
      <c r="E2980" s="26"/>
    </row>
    <row r="2981" spans="5:5" x14ac:dyDescent="0.2">
      <c r="E2981" s="26"/>
    </row>
    <row r="2982" spans="5:5" x14ac:dyDescent="0.2">
      <c r="E2982" s="26"/>
    </row>
    <row r="2983" spans="5:5" x14ac:dyDescent="0.2">
      <c r="E2983" s="26"/>
    </row>
    <row r="2984" spans="5:5" x14ac:dyDescent="0.2">
      <c r="E2984" s="26"/>
    </row>
    <row r="2985" spans="5:5" x14ac:dyDescent="0.2">
      <c r="E2985" s="26"/>
    </row>
    <row r="2986" spans="5:5" x14ac:dyDescent="0.2">
      <c r="E2986" s="26"/>
    </row>
    <row r="2987" spans="5:5" x14ac:dyDescent="0.2">
      <c r="E2987" s="26"/>
    </row>
    <row r="2988" spans="5:5" x14ac:dyDescent="0.2">
      <c r="E2988" s="26"/>
    </row>
    <row r="2989" spans="5:5" x14ac:dyDescent="0.2">
      <c r="E2989" s="26"/>
    </row>
    <row r="2990" spans="5:5" x14ac:dyDescent="0.2">
      <c r="E2990" s="26"/>
    </row>
    <row r="2991" spans="5:5" x14ac:dyDescent="0.2">
      <c r="E2991" s="26"/>
    </row>
    <row r="2992" spans="5:5" x14ac:dyDescent="0.2">
      <c r="E2992" s="26"/>
    </row>
    <row r="2993" spans="5:5" x14ac:dyDescent="0.2">
      <c r="E2993" s="26"/>
    </row>
    <row r="2994" spans="5:5" x14ac:dyDescent="0.2">
      <c r="E2994" s="26"/>
    </row>
    <row r="2995" spans="5:5" x14ac:dyDescent="0.2">
      <c r="E2995" s="26"/>
    </row>
    <row r="2996" spans="5:5" x14ac:dyDescent="0.2">
      <c r="E2996" s="26"/>
    </row>
    <row r="2997" spans="5:5" x14ac:dyDescent="0.2">
      <c r="E2997" s="26"/>
    </row>
    <row r="2998" spans="5:5" x14ac:dyDescent="0.2">
      <c r="E2998" s="26"/>
    </row>
    <row r="2999" spans="5:5" x14ac:dyDescent="0.2">
      <c r="E2999" s="26"/>
    </row>
    <row r="3000" spans="5:5" x14ac:dyDescent="0.2">
      <c r="E3000" s="26"/>
    </row>
    <row r="3001" spans="5:5" x14ac:dyDescent="0.2">
      <c r="E3001" s="26"/>
    </row>
    <row r="3002" spans="5:5" x14ac:dyDescent="0.2">
      <c r="E3002" s="26"/>
    </row>
    <row r="3003" spans="5:5" x14ac:dyDescent="0.2">
      <c r="E3003" s="26"/>
    </row>
    <row r="3004" spans="5:5" x14ac:dyDescent="0.2">
      <c r="E3004" s="26"/>
    </row>
    <row r="3005" spans="5:5" x14ac:dyDescent="0.2">
      <c r="E3005" s="26"/>
    </row>
    <row r="3006" spans="5:5" x14ac:dyDescent="0.2">
      <c r="E3006" s="26"/>
    </row>
    <row r="3007" spans="5:5" x14ac:dyDescent="0.2">
      <c r="E3007" s="26"/>
    </row>
    <row r="3008" spans="5:5" x14ac:dyDescent="0.2">
      <c r="E3008" s="26"/>
    </row>
    <row r="3009" spans="5:5" x14ac:dyDescent="0.2">
      <c r="E3009" s="26"/>
    </row>
    <row r="3010" spans="5:5" x14ac:dyDescent="0.2">
      <c r="E3010" s="26"/>
    </row>
    <row r="3011" spans="5:5" x14ac:dyDescent="0.2">
      <c r="E3011" s="26"/>
    </row>
    <row r="3012" spans="5:5" x14ac:dyDescent="0.2">
      <c r="E3012" s="26"/>
    </row>
    <row r="3013" spans="5:5" x14ac:dyDescent="0.2">
      <c r="E3013" s="26"/>
    </row>
    <row r="3014" spans="5:5" x14ac:dyDescent="0.2">
      <c r="E3014" s="26"/>
    </row>
    <row r="3015" spans="5:5" x14ac:dyDescent="0.2">
      <c r="E3015" s="26"/>
    </row>
    <row r="3016" spans="5:5" x14ac:dyDescent="0.2">
      <c r="E3016" s="26"/>
    </row>
    <row r="3017" spans="5:5" x14ac:dyDescent="0.2">
      <c r="E3017" s="26"/>
    </row>
    <row r="3018" spans="5:5" x14ac:dyDescent="0.2">
      <c r="E3018" s="26"/>
    </row>
    <row r="3019" spans="5:5" x14ac:dyDescent="0.2">
      <c r="E3019" s="26"/>
    </row>
    <row r="3020" spans="5:5" x14ac:dyDescent="0.2">
      <c r="E3020" s="26"/>
    </row>
    <row r="3021" spans="5:5" x14ac:dyDescent="0.2">
      <c r="E3021" s="26"/>
    </row>
    <row r="3022" spans="5:5" x14ac:dyDescent="0.2">
      <c r="E3022" s="26"/>
    </row>
    <row r="3023" spans="5:5" x14ac:dyDescent="0.2">
      <c r="E3023" s="26"/>
    </row>
    <row r="3024" spans="5:5" x14ac:dyDescent="0.2">
      <c r="E3024" s="26"/>
    </row>
    <row r="3025" spans="5:5" x14ac:dyDescent="0.2">
      <c r="E3025" s="26"/>
    </row>
    <row r="3026" spans="5:5" x14ac:dyDescent="0.2">
      <c r="E3026" s="26"/>
    </row>
    <row r="3027" spans="5:5" x14ac:dyDescent="0.2">
      <c r="E3027" s="26"/>
    </row>
    <row r="3028" spans="5:5" x14ac:dyDescent="0.2">
      <c r="E3028" s="26"/>
    </row>
    <row r="3029" spans="5:5" x14ac:dyDescent="0.2">
      <c r="E3029" s="26"/>
    </row>
    <row r="3030" spans="5:5" x14ac:dyDescent="0.2">
      <c r="E3030" s="26"/>
    </row>
    <row r="3031" spans="5:5" x14ac:dyDescent="0.2">
      <c r="E3031" s="26"/>
    </row>
    <row r="3032" spans="5:5" x14ac:dyDescent="0.2">
      <c r="E3032" s="26"/>
    </row>
    <row r="3033" spans="5:5" x14ac:dyDescent="0.2">
      <c r="E3033" s="26"/>
    </row>
    <row r="3034" spans="5:5" x14ac:dyDescent="0.2">
      <c r="E3034" s="26"/>
    </row>
    <row r="3035" spans="5:5" x14ac:dyDescent="0.2">
      <c r="E3035" s="26"/>
    </row>
    <row r="3036" spans="5:5" x14ac:dyDescent="0.2">
      <c r="E3036" s="26"/>
    </row>
    <row r="3037" spans="5:5" x14ac:dyDescent="0.2">
      <c r="E3037" s="26"/>
    </row>
    <row r="3038" spans="5:5" x14ac:dyDescent="0.2">
      <c r="E3038" s="26"/>
    </row>
    <row r="3039" spans="5:5" x14ac:dyDescent="0.2">
      <c r="E3039" s="26"/>
    </row>
    <row r="3040" spans="5:5" x14ac:dyDescent="0.2">
      <c r="E3040" s="26"/>
    </row>
    <row r="3041" spans="5:5" x14ac:dyDescent="0.2">
      <c r="E3041" s="26"/>
    </row>
    <row r="3042" spans="5:5" x14ac:dyDescent="0.2">
      <c r="E3042" s="26"/>
    </row>
    <row r="3043" spans="5:5" x14ac:dyDescent="0.2">
      <c r="E3043" s="26"/>
    </row>
    <row r="3044" spans="5:5" x14ac:dyDescent="0.2">
      <c r="E3044" s="26"/>
    </row>
    <row r="3045" spans="5:5" x14ac:dyDescent="0.2">
      <c r="E3045" s="26"/>
    </row>
    <row r="3046" spans="5:5" x14ac:dyDescent="0.2">
      <c r="E3046" s="26"/>
    </row>
    <row r="3047" spans="5:5" x14ac:dyDescent="0.2">
      <c r="E3047" s="26"/>
    </row>
    <row r="3048" spans="5:5" x14ac:dyDescent="0.2">
      <c r="E3048" s="26"/>
    </row>
    <row r="3049" spans="5:5" x14ac:dyDescent="0.2">
      <c r="E3049" s="26"/>
    </row>
    <row r="3050" spans="5:5" x14ac:dyDescent="0.2">
      <c r="E3050" s="26"/>
    </row>
    <row r="3051" spans="5:5" x14ac:dyDescent="0.2">
      <c r="E3051" s="26"/>
    </row>
    <row r="3052" spans="5:5" x14ac:dyDescent="0.2">
      <c r="E3052" s="26"/>
    </row>
    <row r="3053" spans="5:5" x14ac:dyDescent="0.2">
      <c r="E3053" s="26"/>
    </row>
    <row r="3054" spans="5:5" x14ac:dyDescent="0.2">
      <c r="E3054" s="26"/>
    </row>
    <row r="3055" spans="5:5" x14ac:dyDescent="0.2">
      <c r="E3055" s="26"/>
    </row>
    <row r="3056" spans="5:5" x14ac:dyDescent="0.2">
      <c r="E3056" s="26"/>
    </row>
    <row r="3057" spans="5:5" x14ac:dyDescent="0.2">
      <c r="E3057" s="26"/>
    </row>
    <row r="3058" spans="5:5" x14ac:dyDescent="0.2">
      <c r="E3058" s="26"/>
    </row>
    <row r="3059" spans="5:5" x14ac:dyDescent="0.2">
      <c r="E3059" s="26"/>
    </row>
    <row r="3060" spans="5:5" x14ac:dyDescent="0.2">
      <c r="E3060" s="26"/>
    </row>
    <row r="3061" spans="5:5" x14ac:dyDescent="0.2">
      <c r="E3061" s="26"/>
    </row>
    <row r="3062" spans="5:5" x14ac:dyDescent="0.2">
      <c r="E3062" s="26"/>
    </row>
    <row r="3063" spans="5:5" x14ac:dyDescent="0.2">
      <c r="E3063" s="26"/>
    </row>
    <row r="3064" spans="5:5" x14ac:dyDescent="0.2">
      <c r="E3064" s="26"/>
    </row>
    <row r="3065" spans="5:5" x14ac:dyDescent="0.2">
      <c r="E3065" s="26"/>
    </row>
    <row r="3066" spans="5:5" x14ac:dyDescent="0.2">
      <c r="E3066" s="26"/>
    </row>
    <row r="3067" spans="5:5" x14ac:dyDescent="0.2">
      <c r="E3067" s="26"/>
    </row>
    <row r="3068" spans="5:5" x14ac:dyDescent="0.2">
      <c r="E3068" s="26"/>
    </row>
    <row r="3069" spans="5:5" x14ac:dyDescent="0.2">
      <c r="E3069" s="26"/>
    </row>
    <row r="3070" spans="5:5" x14ac:dyDescent="0.2">
      <c r="E3070" s="26"/>
    </row>
    <row r="3071" spans="5:5" x14ac:dyDescent="0.2">
      <c r="E3071" s="26"/>
    </row>
    <row r="3072" spans="5:5" x14ac:dyDescent="0.2">
      <c r="E3072" s="26"/>
    </row>
    <row r="3073" spans="5:5" x14ac:dyDescent="0.2">
      <c r="E3073" s="26"/>
    </row>
    <row r="3074" spans="5:5" x14ac:dyDescent="0.2">
      <c r="E3074" s="26"/>
    </row>
    <row r="3075" spans="5:5" x14ac:dyDescent="0.2">
      <c r="E3075" s="26"/>
    </row>
    <row r="3076" spans="5:5" x14ac:dyDescent="0.2">
      <c r="E3076" s="26"/>
    </row>
    <row r="3077" spans="5:5" x14ac:dyDescent="0.2">
      <c r="E3077" s="26"/>
    </row>
    <row r="3078" spans="5:5" x14ac:dyDescent="0.2">
      <c r="E3078" s="26"/>
    </row>
    <row r="3079" spans="5:5" x14ac:dyDescent="0.2">
      <c r="E3079" s="26"/>
    </row>
    <row r="3080" spans="5:5" x14ac:dyDescent="0.2">
      <c r="E3080" s="26"/>
    </row>
    <row r="3081" spans="5:5" x14ac:dyDescent="0.2">
      <c r="E3081" s="26"/>
    </row>
    <row r="3082" spans="5:5" x14ac:dyDescent="0.2">
      <c r="E3082" s="26"/>
    </row>
    <row r="3083" spans="5:5" x14ac:dyDescent="0.2">
      <c r="E3083" s="26"/>
    </row>
    <row r="3084" spans="5:5" x14ac:dyDescent="0.2">
      <c r="E3084" s="26"/>
    </row>
    <row r="3085" spans="5:5" x14ac:dyDescent="0.2">
      <c r="E3085" s="26"/>
    </row>
    <row r="3086" spans="5:5" x14ac:dyDescent="0.2">
      <c r="E3086" s="26"/>
    </row>
    <row r="3087" spans="5:5" x14ac:dyDescent="0.2">
      <c r="E3087" s="26"/>
    </row>
    <row r="3088" spans="5:5" x14ac:dyDescent="0.2">
      <c r="E3088" s="26"/>
    </row>
    <row r="3089" spans="5:5" x14ac:dyDescent="0.2">
      <c r="E3089" s="26"/>
    </row>
    <row r="3090" spans="5:5" x14ac:dyDescent="0.2">
      <c r="E3090" s="26"/>
    </row>
    <row r="3091" spans="5:5" x14ac:dyDescent="0.2">
      <c r="E3091" s="26"/>
    </row>
    <row r="3092" spans="5:5" x14ac:dyDescent="0.2">
      <c r="E3092" s="26"/>
    </row>
    <row r="3093" spans="5:5" x14ac:dyDescent="0.2">
      <c r="E3093" s="26"/>
    </row>
    <row r="3094" spans="5:5" x14ac:dyDescent="0.2">
      <c r="E3094" s="26"/>
    </row>
    <row r="3095" spans="5:5" x14ac:dyDescent="0.2">
      <c r="E3095" s="26"/>
    </row>
    <row r="3096" spans="5:5" x14ac:dyDescent="0.2">
      <c r="E3096" s="26"/>
    </row>
    <row r="3097" spans="5:5" x14ac:dyDescent="0.2">
      <c r="E3097" s="26"/>
    </row>
    <row r="3098" spans="5:5" x14ac:dyDescent="0.2">
      <c r="E3098" s="26"/>
    </row>
    <row r="3099" spans="5:5" x14ac:dyDescent="0.2">
      <c r="E3099" s="26"/>
    </row>
    <row r="3100" spans="5:5" x14ac:dyDescent="0.2">
      <c r="E3100" s="26"/>
    </row>
    <row r="3101" spans="5:5" x14ac:dyDescent="0.2">
      <c r="E3101" s="26"/>
    </row>
    <row r="3102" spans="5:5" x14ac:dyDescent="0.2">
      <c r="E3102" s="26"/>
    </row>
    <row r="3103" spans="5:5" x14ac:dyDescent="0.2">
      <c r="E3103" s="26"/>
    </row>
    <row r="3104" spans="5:5" x14ac:dyDescent="0.2">
      <c r="E3104" s="26"/>
    </row>
    <row r="3105" spans="5:5" x14ac:dyDescent="0.2">
      <c r="E3105" s="26"/>
    </row>
    <row r="3106" spans="5:5" x14ac:dyDescent="0.2">
      <c r="E3106" s="26"/>
    </row>
    <row r="3107" spans="5:5" x14ac:dyDescent="0.2">
      <c r="E3107" s="26"/>
    </row>
    <row r="3108" spans="5:5" x14ac:dyDescent="0.2">
      <c r="E3108" s="26"/>
    </row>
    <row r="3109" spans="5:5" x14ac:dyDescent="0.2">
      <c r="E3109" s="26"/>
    </row>
    <row r="3110" spans="5:5" x14ac:dyDescent="0.2">
      <c r="E3110" s="26"/>
    </row>
    <row r="3111" spans="5:5" x14ac:dyDescent="0.2">
      <c r="E3111" s="26"/>
    </row>
    <row r="3112" spans="5:5" x14ac:dyDescent="0.2">
      <c r="E3112" s="26"/>
    </row>
    <row r="3113" spans="5:5" x14ac:dyDescent="0.2">
      <c r="E3113" s="26"/>
    </row>
    <row r="3114" spans="5:5" x14ac:dyDescent="0.2">
      <c r="E3114" s="26"/>
    </row>
    <row r="3115" spans="5:5" x14ac:dyDescent="0.2">
      <c r="E3115" s="26"/>
    </row>
    <row r="3116" spans="5:5" x14ac:dyDescent="0.2">
      <c r="E3116" s="26"/>
    </row>
    <row r="3117" spans="5:5" x14ac:dyDescent="0.2">
      <c r="E3117" s="26"/>
    </row>
    <row r="3118" spans="5:5" x14ac:dyDescent="0.2">
      <c r="E3118" s="26"/>
    </row>
    <row r="3119" spans="5:5" x14ac:dyDescent="0.2">
      <c r="E3119" s="26"/>
    </row>
    <row r="3120" spans="5:5" x14ac:dyDescent="0.2">
      <c r="E3120" s="26"/>
    </row>
    <row r="3121" spans="5:5" x14ac:dyDescent="0.2">
      <c r="E3121" s="26"/>
    </row>
    <row r="3122" spans="5:5" x14ac:dyDescent="0.2">
      <c r="E3122" s="26"/>
    </row>
    <row r="3123" spans="5:5" x14ac:dyDescent="0.2">
      <c r="E3123" s="26"/>
    </row>
    <row r="3124" spans="5:5" x14ac:dyDescent="0.2">
      <c r="E3124" s="26"/>
    </row>
    <row r="3125" spans="5:5" x14ac:dyDescent="0.2">
      <c r="E3125" s="26"/>
    </row>
    <row r="3126" spans="5:5" x14ac:dyDescent="0.2">
      <c r="E3126" s="26"/>
    </row>
    <row r="3127" spans="5:5" x14ac:dyDescent="0.2">
      <c r="E3127" s="26"/>
    </row>
    <row r="3128" spans="5:5" x14ac:dyDescent="0.2">
      <c r="E3128" s="26"/>
    </row>
    <row r="3129" spans="5:5" x14ac:dyDescent="0.2">
      <c r="E3129" s="26"/>
    </row>
    <row r="3130" spans="5:5" x14ac:dyDescent="0.2">
      <c r="E3130" s="26"/>
    </row>
    <row r="3131" spans="5:5" x14ac:dyDescent="0.2">
      <c r="E3131" s="26"/>
    </row>
    <row r="3132" spans="5:5" x14ac:dyDescent="0.2">
      <c r="E3132" s="26"/>
    </row>
    <row r="3133" spans="5:5" x14ac:dyDescent="0.2">
      <c r="E3133" s="26"/>
    </row>
    <row r="3134" spans="5:5" x14ac:dyDescent="0.2">
      <c r="E3134" s="26"/>
    </row>
    <row r="3135" spans="5:5" x14ac:dyDescent="0.2">
      <c r="E3135" s="26"/>
    </row>
    <row r="3136" spans="5:5" x14ac:dyDescent="0.2">
      <c r="E3136" s="26"/>
    </row>
    <row r="3137" spans="5:5" x14ac:dyDescent="0.2">
      <c r="E3137" s="26"/>
    </row>
    <row r="3138" spans="5:5" x14ac:dyDescent="0.2">
      <c r="E3138" s="26"/>
    </row>
    <row r="3139" spans="5:5" x14ac:dyDescent="0.2">
      <c r="E3139" s="26"/>
    </row>
    <row r="3140" spans="5:5" x14ac:dyDescent="0.2">
      <c r="E3140" s="26"/>
    </row>
    <row r="3141" spans="5:5" x14ac:dyDescent="0.2">
      <c r="E3141" s="26"/>
    </row>
    <row r="3142" spans="5:5" x14ac:dyDescent="0.2">
      <c r="E3142" s="26"/>
    </row>
    <row r="3143" spans="5:5" x14ac:dyDescent="0.2">
      <c r="E3143" s="26"/>
    </row>
    <row r="3144" spans="5:5" x14ac:dyDescent="0.2">
      <c r="E3144" s="26"/>
    </row>
    <row r="3145" spans="5:5" x14ac:dyDescent="0.2">
      <c r="E3145" s="26"/>
    </row>
    <row r="3146" spans="5:5" x14ac:dyDescent="0.2">
      <c r="E3146" s="26"/>
    </row>
    <row r="3147" spans="5:5" x14ac:dyDescent="0.2">
      <c r="E3147" s="26"/>
    </row>
    <row r="3148" spans="5:5" x14ac:dyDescent="0.2">
      <c r="E3148" s="26"/>
    </row>
    <row r="3149" spans="5:5" x14ac:dyDescent="0.2">
      <c r="E3149" s="26"/>
    </row>
    <row r="3150" spans="5:5" x14ac:dyDescent="0.2">
      <c r="E3150" s="26"/>
    </row>
    <row r="3151" spans="5:5" x14ac:dyDescent="0.2">
      <c r="E3151" s="26"/>
    </row>
    <row r="3152" spans="5:5" x14ac:dyDescent="0.2">
      <c r="E3152" s="26"/>
    </row>
    <row r="3153" spans="5:5" x14ac:dyDescent="0.2">
      <c r="E3153" s="26"/>
    </row>
    <row r="3154" spans="5:5" x14ac:dyDescent="0.2">
      <c r="E3154" s="26"/>
    </row>
    <row r="3155" spans="5:5" x14ac:dyDescent="0.2">
      <c r="E3155" s="26"/>
    </row>
    <row r="3156" spans="5:5" x14ac:dyDescent="0.2">
      <c r="E3156" s="26"/>
    </row>
    <row r="3157" spans="5:5" x14ac:dyDescent="0.2">
      <c r="E3157" s="26"/>
    </row>
    <row r="3158" spans="5:5" x14ac:dyDescent="0.2">
      <c r="E3158" s="26"/>
    </row>
    <row r="3159" spans="5:5" x14ac:dyDescent="0.2">
      <c r="E3159" s="26"/>
    </row>
    <row r="3160" spans="5:5" x14ac:dyDescent="0.2">
      <c r="E3160" s="26"/>
    </row>
    <row r="3161" spans="5:5" x14ac:dyDescent="0.2">
      <c r="E3161" s="26"/>
    </row>
    <row r="3162" spans="5:5" x14ac:dyDescent="0.2">
      <c r="E3162" s="26"/>
    </row>
    <row r="3163" spans="5:5" x14ac:dyDescent="0.2">
      <c r="E3163" s="26"/>
    </row>
    <row r="3164" spans="5:5" x14ac:dyDescent="0.2">
      <c r="E3164" s="26"/>
    </row>
    <row r="3165" spans="5:5" x14ac:dyDescent="0.2">
      <c r="E3165" s="26"/>
    </row>
    <row r="3166" spans="5:5" x14ac:dyDescent="0.2">
      <c r="E3166" s="26"/>
    </row>
    <row r="3167" spans="5:5" x14ac:dyDescent="0.2">
      <c r="E3167" s="26"/>
    </row>
    <row r="3168" spans="5:5" x14ac:dyDescent="0.2">
      <c r="E3168" s="26"/>
    </row>
    <row r="3169" spans="5:5" x14ac:dyDescent="0.2">
      <c r="E3169" s="26"/>
    </row>
    <row r="3170" spans="5:5" x14ac:dyDescent="0.2">
      <c r="E3170" s="26"/>
    </row>
    <row r="3171" spans="5:5" x14ac:dyDescent="0.2">
      <c r="E3171" s="26"/>
    </row>
    <row r="3172" spans="5:5" x14ac:dyDescent="0.2">
      <c r="E3172" s="26"/>
    </row>
    <row r="3173" spans="5:5" x14ac:dyDescent="0.2">
      <c r="E3173" s="26"/>
    </row>
    <row r="3174" spans="5:5" x14ac:dyDescent="0.2">
      <c r="E3174" s="26"/>
    </row>
    <row r="3175" spans="5:5" x14ac:dyDescent="0.2">
      <c r="E3175" s="26"/>
    </row>
    <row r="3176" spans="5:5" x14ac:dyDescent="0.2">
      <c r="E3176" s="26"/>
    </row>
    <row r="3177" spans="5:5" x14ac:dyDescent="0.2">
      <c r="E3177" s="26"/>
    </row>
    <row r="3178" spans="5:5" x14ac:dyDescent="0.2">
      <c r="E3178" s="26"/>
    </row>
    <row r="3179" spans="5:5" x14ac:dyDescent="0.2">
      <c r="E3179" s="26"/>
    </row>
    <row r="3180" spans="5:5" x14ac:dyDescent="0.2">
      <c r="E3180" s="26"/>
    </row>
    <row r="3181" spans="5:5" x14ac:dyDescent="0.2">
      <c r="E3181" s="26"/>
    </row>
    <row r="3182" spans="5:5" x14ac:dyDescent="0.2">
      <c r="E3182" s="26"/>
    </row>
    <row r="3183" spans="5:5" x14ac:dyDescent="0.2">
      <c r="E3183" s="26"/>
    </row>
    <row r="3184" spans="5:5" x14ac:dyDescent="0.2">
      <c r="E3184" s="26"/>
    </row>
    <row r="3185" spans="5:5" x14ac:dyDescent="0.2">
      <c r="E3185" s="26"/>
    </row>
    <row r="3186" spans="5:5" x14ac:dyDescent="0.2">
      <c r="E3186" s="26"/>
    </row>
    <row r="3187" spans="5:5" x14ac:dyDescent="0.2">
      <c r="E3187" s="26"/>
    </row>
    <row r="3188" spans="5:5" x14ac:dyDescent="0.2">
      <c r="E3188" s="26"/>
    </row>
    <row r="3189" spans="5:5" x14ac:dyDescent="0.2">
      <c r="E3189" s="26"/>
    </row>
    <row r="3190" spans="5:5" x14ac:dyDescent="0.2">
      <c r="E3190" s="26"/>
    </row>
    <row r="3191" spans="5:5" x14ac:dyDescent="0.2">
      <c r="E3191" s="26"/>
    </row>
    <row r="3192" spans="5:5" x14ac:dyDescent="0.2">
      <c r="E3192" s="26"/>
    </row>
    <row r="3193" spans="5:5" x14ac:dyDescent="0.2">
      <c r="E3193" s="26"/>
    </row>
    <row r="3194" spans="5:5" x14ac:dyDescent="0.2">
      <c r="E3194" s="26"/>
    </row>
    <row r="3195" spans="5:5" x14ac:dyDescent="0.2">
      <c r="E3195" s="26"/>
    </row>
    <row r="3196" spans="5:5" x14ac:dyDescent="0.2">
      <c r="E3196" s="26"/>
    </row>
    <row r="3197" spans="5:5" x14ac:dyDescent="0.2">
      <c r="E3197" s="26"/>
    </row>
    <row r="3198" spans="5:5" x14ac:dyDescent="0.2">
      <c r="E3198" s="26"/>
    </row>
    <row r="3199" spans="5:5" x14ac:dyDescent="0.2">
      <c r="E3199" s="26"/>
    </row>
    <row r="3200" spans="5:5" x14ac:dyDescent="0.2">
      <c r="E3200" s="26"/>
    </row>
    <row r="3201" spans="5:5" x14ac:dyDescent="0.2">
      <c r="E3201" s="26"/>
    </row>
    <row r="3202" spans="5:5" x14ac:dyDescent="0.2">
      <c r="E3202" s="26"/>
    </row>
    <row r="3203" spans="5:5" x14ac:dyDescent="0.2">
      <c r="E3203" s="26"/>
    </row>
    <row r="3204" spans="5:5" x14ac:dyDescent="0.2">
      <c r="E3204" s="26"/>
    </row>
    <row r="3205" spans="5:5" x14ac:dyDescent="0.2">
      <c r="E3205" s="26"/>
    </row>
    <row r="3206" spans="5:5" x14ac:dyDescent="0.2">
      <c r="E3206" s="26"/>
    </row>
    <row r="3207" spans="5:5" x14ac:dyDescent="0.2">
      <c r="E3207" s="26"/>
    </row>
    <row r="3208" spans="5:5" x14ac:dyDescent="0.2">
      <c r="E3208" s="26"/>
    </row>
    <row r="3209" spans="5:5" x14ac:dyDescent="0.2">
      <c r="E3209" s="26"/>
    </row>
    <row r="3210" spans="5:5" x14ac:dyDescent="0.2">
      <c r="E3210" s="26"/>
    </row>
    <row r="3211" spans="5:5" x14ac:dyDescent="0.2">
      <c r="E3211" s="26"/>
    </row>
    <row r="3212" spans="5:5" x14ac:dyDescent="0.2">
      <c r="E3212" s="26"/>
    </row>
    <row r="3213" spans="5:5" x14ac:dyDescent="0.2">
      <c r="E3213" s="26"/>
    </row>
    <row r="3214" spans="5:5" x14ac:dyDescent="0.2">
      <c r="E3214" s="26"/>
    </row>
    <row r="3215" spans="5:5" x14ac:dyDescent="0.2">
      <c r="E3215" s="26"/>
    </row>
    <row r="3216" spans="5:5" x14ac:dyDescent="0.2">
      <c r="E3216" s="26"/>
    </row>
    <row r="3217" spans="5:5" x14ac:dyDescent="0.2">
      <c r="E3217" s="26"/>
    </row>
    <row r="3218" spans="5:5" x14ac:dyDescent="0.2">
      <c r="E3218" s="26"/>
    </row>
    <row r="3219" spans="5:5" x14ac:dyDescent="0.2">
      <c r="E3219" s="26"/>
    </row>
    <row r="3220" spans="5:5" x14ac:dyDescent="0.2">
      <c r="E3220" s="26"/>
    </row>
    <row r="3221" spans="5:5" x14ac:dyDescent="0.2">
      <c r="E3221" s="26"/>
    </row>
    <row r="3222" spans="5:5" x14ac:dyDescent="0.2">
      <c r="E3222" s="26"/>
    </row>
    <row r="3223" spans="5:5" x14ac:dyDescent="0.2">
      <c r="E3223" s="26"/>
    </row>
    <row r="3224" spans="5:5" x14ac:dyDescent="0.2">
      <c r="E3224" s="26"/>
    </row>
    <row r="3225" spans="5:5" x14ac:dyDescent="0.2">
      <c r="E3225" s="26"/>
    </row>
    <row r="3226" spans="5:5" x14ac:dyDescent="0.2">
      <c r="E3226" s="26"/>
    </row>
    <row r="3227" spans="5:5" x14ac:dyDescent="0.2">
      <c r="E3227" s="26"/>
    </row>
    <row r="3228" spans="5:5" x14ac:dyDescent="0.2">
      <c r="E3228" s="26"/>
    </row>
    <row r="3229" spans="5:5" x14ac:dyDescent="0.2">
      <c r="E3229" s="26"/>
    </row>
    <row r="3230" spans="5:5" x14ac:dyDescent="0.2">
      <c r="E3230" s="26"/>
    </row>
    <row r="3231" spans="5:5" x14ac:dyDescent="0.2">
      <c r="E3231" s="26"/>
    </row>
    <row r="3232" spans="5:5" x14ac:dyDescent="0.2">
      <c r="E3232" s="26"/>
    </row>
    <row r="3233" spans="5:5" x14ac:dyDescent="0.2">
      <c r="E3233" s="26"/>
    </row>
    <row r="3234" spans="5:5" x14ac:dyDescent="0.2">
      <c r="E3234" s="26"/>
    </row>
    <row r="3235" spans="5:5" x14ac:dyDescent="0.2">
      <c r="E3235" s="26"/>
    </row>
    <row r="3236" spans="5:5" x14ac:dyDescent="0.2">
      <c r="E3236" s="26"/>
    </row>
    <row r="3237" spans="5:5" x14ac:dyDescent="0.2">
      <c r="E3237" s="26"/>
    </row>
    <row r="3238" spans="5:5" x14ac:dyDescent="0.2">
      <c r="E3238" s="26"/>
    </row>
    <row r="3239" spans="5:5" x14ac:dyDescent="0.2">
      <c r="E3239" s="26"/>
    </row>
    <row r="3240" spans="5:5" x14ac:dyDescent="0.2">
      <c r="E3240" s="26"/>
    </row>
    <row r="3241" spans="5:5" x14ac:dyDescent="0.2">
      <c r="E3241" s="26"/>
    </row>
    <row r="3242" spans="5:5" x14ac:dyDescent="0.2">
      <c r="E3242" s="26"/>
    </row>
    <row r="3243" spans="5:5" x14ac:dyDescent="0.2">
      <c r="E3243" s="26"/>
    </row>
    <row r="3244" spans="5:5" x14ac:dyDescent="0.2">
      <c r="E3244" s="26"/>
    </row>
    <row r="3245" spans="5:5" x14ac:dyDescent="0.2">
      <c r="E3245" s="26"/>
    </row>
    <row r="3246" spans="5:5" x14ac:dyDescent="0.2">
      <c r="E3246" s="26"/>
    </row>
    <row r="3247" spans="5:5" x14ac:dyDescent="0.2">
      <c r="E3247" s="26"/>
    </row>
    <row r="3248" spans="5:5" x14ac:dyDescent="0.2">
      <c r="E3248" s="26"/>
    </row>
    <row r="3249" spans="5:5" x14ac:dyDescent="0.2">
      <c r="E3249" s="26"/>
    </row>
    <row r="3250" spans="5:5" x14ac:dyDescent="0.2">
      <c r="E3250" s="26"/>
    </row>
    <row r="3251" spans="5:5" x14ac:dyDescent="0.2">
      <c r="E3251" s="26"/>
    </row>
    <row r="3252" spans="5:5" x14ac:dyDescent="0.2">
      <c r="E3252" s="26"/>
    </row>
    <row r="3253" spans="5:5" x14ac:dyDescent="0.2">
      <c r="E3253" s="26"/>
    </row>
    <row r="3254" spans="5:5" x14ac:dyDescent="0.2">
      <c r="E3254" s="26"/>
    </row>
    <row r="3255" spans="5:5" x14ac:dyDescent="0.2">
      <c r="E3255" s="26"/>
    </row>
    <row r="3256" spans="5:5" x14ac:dyDescent="0.2">
      <c r="E3256" s="26"/>
    </row>
    <row r="3257" spans="5:5" x14ac:dyDescent="0.2">
      <c r="E3257" s="26"/>
    </row>
    <row r="3258" spans="5:5" x14ac:dyDescent="0.2">
      <c r="E3258" s="26"/>
    </row>
    <row r="3259" spans="5:5" x14ac:dyDescent="0.2">
      <c r="E3259" s="26"/>
    </row>
    <row r="3260" spans="5:5" x14ac:dyDescent="0.2">
      <c r="E3260" s="26"/>
    </row>
    <row r="3261" spans="5:5" x14ac:dyDescent="0.2">
      <c r="E3261" s="26"/>
    </row>
    <row r="3262" spans="5:5" x14ac:dyDescent="0.2">
      <c r="E3262" s="26"/>
    </row>
    <row r="3263" spans="5:5" x14ac:dyDescent="0.2">
      <c r="E3263" s="26"/>
    </row>
    <row r="3264" spans="5:5" x14ac:dyDescent="0.2">
      <c r="E3264" s="26"/>
    </row>
    <row r="3265" spans="5:5" x14ac:dyDescent="0.2">
      <c r="E3265" s="26"/>
    </row>
    <row r="3266" spans="5:5" x14ac:dyDescent="0.2">
      <c r="E3266" s="26"/>
    </row>
    <row r="3267" spans="5:5" x14ac:dyDescent="0.2">
      <c r="E3267" s="26"/>
    </row>
    <row r="3268" spans="5:5" x14ac:dyDescent="0.2">
      <c r="E3268" s="26"/>
    </row>
    <row r="3269" spans="5:5" x14ac:dyDescent="0.2">
      <c r="E3269" s="26"/>
    </row>
    <row r="3270" spans="5:5" x14ac:dyDescent="0.2">
      <c r="E3270" s="2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Weekly</vt:lpstr>
      <vt:lpstr>Oct-15</vt:lpstr>
      <vt:lpstr>Nov-15</vt:lpstr>
      <vt:lpstr>Dec-15</vt:lpstr>
      <vt:lpstr>Jan-16</vt:lpstr>
      <vt:lpstr>Feb-16</vt:lpstr>
      <vt:lpstr>Mar-16</vt:lpstr>
      <vt:lpstr>Apr-16</vt:lpstr>
      <vt:lpstr>May-16</vt:lpstr>
      <vt:lpstr>Jun-16</vt:lpstr>
      <vt:lpstr>Jul-16</vt:lpstr>
      <vt:lpstr>Aug-16</vt:lpstr>
      <vt:lpstr>Sep-16</vt:lpstr>
      <vt:lpstr>Oct-16</vt:lpstr>
      <vt:lpstr>Nov-16</vt:lpstr>
      <vt:lpstr>Dec-16</vt:lpstr>
      <vt:lpstr>Jan-17</vt:lpstr>
      <vt:lpstr>Feb-17</vt:lpstr>
      <vt:lpstr>Mar-17</vt:lpstr>
      <vt:lpstr>Apr-17</vt:lpstr>
      <vt:lpstr>May-17</vt:lpstr>
      <vt:lpstr>Jun-17</vt:lpstr>
      <vt:lpstr>Jul-17</vt:lpstr>
      <vt:lpstr>Sep-15</vt:lpstr>
      <vt:lpstr>Aug-15</vt:lpstr>
      <vt:lpstr>Jul-15</vt:lpstr>
      <vt:lpstr>Jun-15</vt:lpstr>
      <vt:lpstr>May-15</vt:lpstr>
      <vt:lpstr>Apr-15</vt:lpstr>
      <vt:lpstr>Mar-15</vt:lpstr>
      <vt:lpstr>Feb-15</vt:lpstr>
      <vt:lpstr>Jan-15</vt:lpstr>
      <vt:lpstr>Dec-14</vt:lpstr>
      <vt:lpstr>Nov-14</vt:lpstr>
      <vt:lpstr>Oct-14</vt:lpstr>
      <vt:lpstr>Sep-14</vt:lpstr>
      <vt:lpstr>Monthly</vt:lpstr>
      <vt:lpstr>Logo</vt:lpstr>
      <vt:lpstr>Test 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STMC</dc:creator>
  <cp:lastModifiedBy>Robert STMC</cp:lastModifiedBy>
  <dcterms:created xsi:type="dcterms:W3CDTF">2015-01-14T16:10:01Z</dcterms:created>
  <dcterms:modified xsi:type="dcterms:W3CDTF">2018-03-23T23:52:05Z</dcterms:modified>
</cp:coreProperties>
</file>